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\Cornerstone Dropbox\CER Projects Team Folder\2023 Projects\EU SA &amp; Malawi\Costing models\SC Rise Clubs\"/>
    </mc:Choice>
  </mc:AlternateContent>
  <xr:revisionPtr revIDLastSave="0" documentId="13_ncr:1_{59C83D22-8E97-408C-ABF6-F52A4873953A}" xr6:coauthVersionLast="47" xr6:coauthVersionMax="47" xr10:uidLastSave="{00000000-0000-0000-0000-000000000000}"/>
  <bookViews>
    <workbookView xWindow="28680" yWindow="-120" windowWidth="29040" windowHeight="15720" xr2:uid="{07AF77F3-34B9-493C-9326-7DB612770454}"/>
  </bookViews>
  <sheets>
    <sheet name="Front" sheetId="3" r:id="rId1"/>
    <sheet name="GenAssumptions" sheetId="6" r:id="rId2"/>
    <sheet name="Summary" sheetId="1" r:id="rId3"/>
    <sheet name="HeadOffice" sheetId="7" r:id="rId4"/>
    <sheet name="Training" sheetId="8" r:id="rId5"/>
    <sheet name="ClubActivities" sheetId="9" r:id="rId6"/>
    <sheet name="ClubActivities (2)" sheetId="10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SD_District_Management">#REF!</definedName>
    <definedName name="_SD_National_Management">#REF!</definedName>
    <definedName name="_SD_Provincial_Management">#REF!</definedName>
    <definedName name="_YM1">[1]Settings!$AC$25</definedName>
    <definedName name="_YM2">[1]Settings!$AC$26</definedName>
    <definedName name="_YM3">[1]Settings!$AC$27</definedName>
    <definedName name="_YP1">[1]Settings!$AC$23</definedName>
    <definedName name="_YP2">[1]Settings!$AC$22</definedName>
    <definedName name="_YP3">[1]Settings!$AC$21</definedName>
    <definedName name="ADClerkTime">[2]Notches!$Q$13</definedName>
    <definedName name="AmdinStaffTrainCost">[2]Input!$C$41</definedName>
    <definedName name="AuxSWDays">[2]Notches!$R$17</definedName>
    <definedName name="AuxSWTime">[2]Notches!$Q$17</definedName>
    <definedName name="CCPTrainCost">[2]Input!$C$38</definedName>
    <definedName name="CHClothes">[2]Input!$C$45</definedName>
    <definedName name="CHFood">[2]Input!$C$47</definedName>
    <definedName name="CHSport">[2]Input!$C$49</definedName>
    <definedName name="CHTransport">[2]Input!$C$51</definedName>
    <definedName name="CostKM">[2]Input!$C$35</definedName>
    <definedName name="date">[2]Menu!$C$8</definedName>
    <definedName name="Dept1">[1]Settings!$AM$21</definedName>
    <definedName name="ExRate">#REF!</definedName>
    <definedName name="FinMgerDayas">[2]Notches!$R$18</definedName>
    <definedName name="FinMgerTime">[2]Notches!$Q$18</definedName>
    <definedName name="FinMgtTrainCost">[2]Input!$C$39</definedName>
    <definedName name="HR_Incr">#REF!</definedName>
    <definedName name="Infl_amount">#REF!</definedName>
    <definedName name="Infl_Rate">#REF!</definedName>
    <definedName name="KMperHR">[2]Input!$C$34</definedName>
    <definedName name="Level3">[3]Settings!$AG$40</definedName>
    <definedName name="Materialassist">[2]Input!$C$53</definedName>
    <definedName name="Max">[1]Settings!$AQ$5</definedName>
    <definedName name="Menu1">#REF!</definedName>
    <definedName name="Menu2">#REF!</definedName>
    <definedName name="Menu3">#REF!</definedName>
    <definedName name="Menu4">#REF!</definedName>
    <definedName name="MgerTrainCost">[2]Input!#REF!</definedName>
    <definedName name="MGTTraingCost">[2]Input!$C$40</definedName>
    <definedName name="Min">[1]Settings!$AR$5</definedName>
    <definedName name="NurseDays">[2]Notches!$R$22</definedName>
    <definedName name="NurseTime">[2]Notches!$Q$22</definedName>
    <definedName name="OTDays">[2]Notches!$R$23</definedName>
    <definedName name="OTTime">[2]Notches!$Q$23</definedName>
    <definedName name="Pay_Curr">#REF!</definedName>
    <definedName name="Report_2016">#REF!</definedName>
    <definedName name="Report_Curr">#REF!</definedName>
    <definedName name="SalaryScales">[4]SalaryNames!$B$1:$B$5</definedName>
    <definedName name="scenario">[2]Menu!$C$7</definedName>
    <definedName name="SenfmgerTime">[2]Notches!$Q$19</definedName>
    <definedName name="Status">[5]Codes!$A$2:$A$5</definedName>
    <definedName name="SWDays">[2]Notches!$R$16</definedName>
    <definedName name="SWTime">[2]Notches!$Q$16</definedName>
    <definedName name="TeacherDays">[2]Notches!$R$20</definedName>
    <definedName name="Teachertime">[2]Notches!$Q$20</definedName>
    <definedName name="TrainingCodes">[2]Input!$A$38:$B$41</definedName>
    <definedName name="TrainingCost">[2]Input!#REF!</definedName>
    <definedName name="TravelTime">[2]Input!$C$33</definedName>
    <definedName name="TreasTrainCost">[2]Input!#REF!</definedName>
    <definedName name="username">[2]Menu!$C$6</definedName>
    <definedName name="WageCivilServant">[6]Lists!$J$2:$J$37</definedName>
    <definedName name="WageVlookup">[6]Lists!$Y$2:$Z$112</definedName>
    <definedName name="Y0">[1]Settings!$AC$24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7" i="8" l="1"/>
  <c r="F87" i="8"/>
  <c r="G87" i="8"/>
  <c r="E88" i="8"/>
  <c r="F88" i="8"/>
  <c r="G88" i="8"/>
  <c r="E89" i="8"/>
  <c r="E90" i="8" s="1"/>
  <c r="F89" i="8"/>
  <c r="F90" i="8" s="1"/>
  <c r="G89" i="8"/>
  <c r="G90" i="8" s="1"/>
  <c r="E91" i="8"/>
  <c r="F91" i="8"/>
  <c r="G91" i="8"/>
  <c r="E92" i="8"/>
  <c r="F92" i="8"/>
  <c r="G92" i="8"/>
  <c r="F29" i="7"/>
  <c r="G29" i="7"/>
  <c r="E29" i="7"/>
  <c r="E50" i="7" l="1"/>
  <c r="E51" i="7" s="1"/>
  <c r="I51" i="7" s="1"/>
  <c r="I13" i="7" s="1"/>
  <c r="E33" i="8"/>
  <c r="I33" i="8" s="1"/>
  <c r="E43" i="8"/>
  <c r="I43" i="8" s="1"/>
  <c r="F43" i="8"/>
  <c r="J43" i="8" s="1"/>
  <c r="G43" i="8"/>
  <c r="K43" i="8" s="1"/>
  <c r="I88" i="8"/>
  <c r="J88" i="8"/>
  <c r="K88" i="8"/>
  <c r="E56" i="6"/>
  <c r="F56" i="6"/>
  <c r="D56" i="6"/>
  <c r="G31" i="8"/>
  <c r="G32" i="8" s="1"/>
  <c r="F31" i="8"/>
  <c r="F32" i="8" s="1"/>
  <c r="E31" i="8"/>
  <c r="E32" i="8" s="1"/>
  <c r="E27" i="8"/>
  <c r="E29" i="8" s="1"/>
  <c r="F36" i="9"/>
  <c r="F35" i="9"/>
  <c r="C12" i="9"/>
  <c r="C11" i="9"/>
  <c r="C8" i="9"/>
  <c r="C7" i="9"/>
  <c r="J6" i="9"/>
  <c r="J8" i="1" s="1"/>
  <c r="K6" i="9"/>
  <c r="K8" i="1" s="1"/>
  <c r="I6" i="9"/>
  <c r="I8" i="1" s="1"/>
  <c r="F32" i="6"/>
  <c r="E32" i="6"/>
  <c r="D32" i="6"/>
  <c r="E42" i="9"/>
  <c r="C10" i="8"/>
  <c r="C18" i="8"/>
  <c r="K93" i="8"/>
  <c r="J93" i="8"/>
  <c r="I93" i="8"/>
  <c r="K91" i="8"/>
  <c r="J91" i="8"/>
  <c r="I91" i="8"/>
  <c r="I89" i="8"/>
  <c r="H84" i="8"/>
  <c r="E66" i="8"/>
  <c r="E67" i="8" s="1"/>
  <c r="E72" i="8" s="1"/>
  <c r="I72" i="8" s="1"/>
  <c r="H67" i="8"/>
  <c r="E52" i="8"/>
  <c r="G52" i="8" s="1"/>
  <c r="G62" i="8" s="1"/>
  <c r="K62" i="8" s="1"/>
  <c r="E48" i="8"/>
  <c r="I48" i="8" s="1"/>
  <c r="F105" i="8"/>
  <c r="G105" i="8"/>
  <c r="C9" i="8"/>
  <c r="C8" i="8"/>
  <c r="C7" i="8"/>
  <c r="C6" i="8"/>
  <c r="C13" i="7"/>
  <c r="C8" i="7"/>
  <c r="C7" i="7"/>
  <c r="C6" i="7"/>
  <c r="G35" i="8" l="1"/>
  <c r="K35" i="8" s="1"/>
  <c r="G33" i="8"/>
  <c r="K33" i="8" s="1"/>
  <c r="F33" i="8"/>
  <c r="J33" i="8" s="1"/>
  <c r="E35" i="8"/>
  <c r="I35" i="8" s="1"/>
  <c r="F35" i="8"/>
  <c r="J35" i="8" s="1"/>
  <c r="E57" i="8"/>
  <c r="I57" i="8" s="1"/>
  <c r="G57" i="8"/>
  <c r="K57" i="8" s="1"/>
  <c r="E62" i="8"/>
  <c r="I62" i="8" s="1"/>
  <c r="I92" i="8"/>
  <c r="I42" i="9"/>
  <c r="E30" i="8"/>
  <c r="E34" i="8"/>
  <c r="I34" i="8" s="1"/>
  <c r="I90" i="8"/>
  <c r="E71" i="8"/>
  <c r="E78" i="8" s="1"/>
  <c r="I78" i="8" s="1"/>
  <c r="E56" i="8"/>
  <c r="E58" i="8" s="1"/>
  <c r="I58" i="8" s="1"/>
  <c r="E59" i="8"/>
  <c r="G61" i="8"/>
  <c r="G59" i="8"/>
  <c r="F52" i="8"/>
  <c r="E61" i="8"/>
  <c r="I50" i="7"/>
  <c r="F62" i="8" l="1"/>
  <c r="J62" i="8" s="1"/>
  <c r="F57" i="8"/>
  <c r="J57" i="8" s="1"/>
  <c r="E73" i="8"/>
  <c r="I73" i="8" s="1"/>
  <c r="E75" i="8"/>
  <c r="E63" i="8"/>
  <c r="E60" i="8"/>
  <c r="F59" i="8"/>
  <c r="F61" i="8"/>
  <c r="I47" i="7"/>
  <c r="I8" i="7"/>
  <c r="F48" i="6" l="1"/>
  <c r="K97" i="8" s="1"/>
  <c r="E48" i="6"/>
  <c r="J97" i="8" s="1"/>
  <c r="F49" i="6"/>
  <c r="K98" i="8" s="1"/>
  <c r="E49" i="6"/>
  <c r="J98" i="8" s="1"/>
  <c r="F50" i="6"/>
  <c r="K99" i="8" s="1"/>
  <c r="E50" i="6"/>
  <c r="J99" i="8" s="1"/>
  <c r="F51" i="6"/>
  <c r="K100" i="8" s="1"/>
  <c r="E51" i="6"/>
  <c r="J100" i="8" s="1"/>
  <c r="F52" i="6"/>
  <c r="K101" i="8" s="1"/>
  <c r="E52" i="6"/>
  <c r="J101" i="8" s="1"/>
  <c r="F53" i="6"/>
  <c r="K102" i="8" s="1"/>
  <c r="E53" i="6"/>
  <c r="J102" i="8" s="1"/>
  <c r="K103" i="8"/>
  <c r="J103" i="8"/>
  <c r="F55" i="6"/>
  <c r="K104" i="8" s="1"/>
  <c r="E55" i="6"/>
  <c r="J104" i="8" s="1"/>
  <c r="K105" i="8"/>
  <c r="J105" i="8"/>
  <c r="K106" i="8"/>
  <c r="J106" i="8"/>
  <c r="I106" i="8"/>
  <c r="I105" i="8"/>
  <c r="D55" i="6"/>
  <c r="I104" i="8" s="1"/>
  <c r="I103" i="8"/>
  <c r="D53" i="6"/>
  <c r="I102" i="8" s="1"/>
  <c r="D52" i="6"/>
  <c r="I101" i="8" s="1"/>
  <c r="D51" i="6"/>
  <c r="I100" i="8" s="1"/>
  <c r="D49" i="6"/>
  <c r="I98" i="8" s="1"/>
  <c r="D48" i="6"/>
  <c r="I97" i="8" s="1"/>
  <c r="D50" i="6"/>
  <c r="I99" i="8" s="1"/>
  <c r="I23" i="7"/>
  <c r="I21" i="7"/>
  <c r="K22" i="7"/>
  <c r="J22" i="7"/>
  <c r="I22" i="7"/>
  <c r="K27" i="7"/>
  <c r="J27" i="7"/>
  <c r="I27" i="7"/>
  <c r="I96" i="8" l="1"/>
  <c r="I11" i="8" s="1"/>
  <c r="I5" i="8" s="1"/>
  <c r="I7" i="1" s="1"/>
  <c r="J96" i="8"/>
  <c r="K96" i="8"/>
  <c r="F20" i="9"/>
  <c r="F27" i="9" s="1"/>
  <c r="J26" i="9" s="1"/>
  <c r="G20" i="9"/>
  <c r="G27" i="9" s="1"/>
  <c r="K26" i="9" s="1"/>
  <c r="E20" i="9"/>
  <c r="E27" i="9" s="1"/>
  <c r="C20" i="9"/>
  <c r="F21" i="7"/>
  <c r="G21" i="7"/>
  <c r="F23" i="7"/>
  <c r="J23" i="7" s="1"/>
  <c r="G23" i="7"/>
  <c r="K23" i="7" s="1"/>
  <c r="J18" i="1"/>
  <c r="F27" i="8" s="1"/>
  <c r="F29" i="8" s="1"/>
  <c r="F30" i="8" s="1"/>
  <c r="K18" i="1"/>
  <c r="G27" i="8" s="1"/>
  <c r="G29" i="8" s="1"/>
  <c r="G30" i="8" s="1"/>
  <c r="F10" i="6"/>
  <c r="E10" i="6"/>
  <c r="D10" i="6"/>
  <c r="E38" i="9"/>
  <c r="I38" i="9" s="1"/>
  <c r="G36" i="9"/>
  <c r="E37" i="9"/>
  <c r="I37" i="9" s="1"/>
  <c r="G35" i="9"/>
  <c r="F25" i="9"/>
  <c r="G25" i="9"/>
  <c r="I30" i="9"/>
  <c r="I28" i="9" s="1"/>
  <c r="F22" i="9"/>
  <c r="G22" i="9"/>
  <c r="F29" i="9"/>
  <c r="J30" i="9" s="1"/>
  <c r="J28" i="9" s="1"/>
  <c r="G29" i="9"/>
  <c r="K30" i="9" s="1"/>
  <c r="K28" i="9" s="1"/>
  <c r="G83" i="10"/>
  <c r="F83" i="10"/>
  <c r="G72" i="10"/>
  <c r="F72" i="10"/>
  <c r="E72" i="10"/>
  <c r="K69" i="10"/>
  <c r="J69" i="10"/>
  <c r="I69" i="10"/>
  <c r="E68" i="10"/>
  <c r="I68" i="10" s="1"/>
  <c r="G67" i="10"/>
  <c r="K67" i="10" s="1"/>
  <c r="F67" i="10"/>
  <c r="J67" i="10" s="1"/>
  <c r="E67" i="10"/>
  <c r="I67" i="10" s="1"/>
  <c r="I66" i="10"/>
  <c r="G66" i="10"/>
  <c r="K66" i="10" s="1"/>
  <c r="F66" i="10"/>
  <c r="J66" i="10" s="1"/>
  <c r="E66" i="10"/>
  <c r="K64" i="10"/>
  <c r="J64" i="10"/>
  <c r="I64" i="10"/>
  <c r="E63" i="10"/>
  <c r="E65" i="10" s="1"/>
  <c r="I65" i="10" s="1"/>
  <c r="G62" i="10"/>
  <c r="K62" i="10" s="1"/>
  <c r="F62" i="10"/>
  <c r="J62" i="10" s="1"/>
  <c r="E62" i="10"/>
  <c r="I62" i="10" s="1"/>
  <c r="G61" i="10"/>
  <c r="G63" i="10" s="1"/>
  <c r="F61" i="10"/>
  <c r="F56" i="10" s="1"/>
  <c r="G56" i="10"/>
  <c r="E56" i="10"/>
  <c r="E53" i="10"/>
  <c r="I53" i="10" s="1"/>
  <c r="G52" i="10"/>
  <c r="K52" i="10" s="1"/>
  <c r="F52" i="10"/>
  <c r="J52" i="10" s="1"/>
  <c r="E52" i="10"/>
  <c r="I52" i="10" s="1"/>
  <c r="G51" i="10"/>
  <c r="K51" i="10" s="1"/>
  <c r="F51" i="10"/>
  <c r="J51" i="10" s="1"/>
  <c r="E51" i="10"/>
  <c r="I51" i="10" s="1"/>
  <c r="E50" i="10"/>
  <c r="I50" i="10" s="1"/>
  <c r="G49" i="10"/>
  <c r="K49" i="10" s="1"/>
  <c r="F49" i="10"/>
  <c r="J49" i="10" s="1"/>
  <c r="E49" i="10"/>
  <c r="I49" i="10" s="1"/>
  <c r="E48" i="10"/>
  <c r="I48" i="10" s="1"/>
  <c r="G47" i="10"/>
  <c r="K47" i="10" s="1"/>
  <c r="F47" i="10"/>
  <c r="J47" i="10" s="1"/>
  <c r="E47" i="10"/>
  <c r="I47" i="10" s="1"/>
  <c r="G46" i="10"/>
  <c r="G53" i="10" s="1"/>
  <c r="K53" i="10" s="1"/>
  <c r="F46" i="10"/>
  <c r="F48" i="10" s="1"/>
  <c r="J48" i="10" s="1"/>
  <c r="G41" i="10"/>
  <c r="F41" i="10"/>
  <c r="E41" i="10"/>
  <c r="F37" i="10"/>
  <c r="J37" i="10" s="1"/>
  <c r="E37" i="10"/>
  <c r="I37" i="10" s="1"/>
  <c r="G36" i="10"/>
  <c r="K36" i="10" s="1"/>
  <c r="F36" i="10"/>
  <c r="J36" i="10" s="1"/>
  <c r="E36" i="10"/>
  <c r="I36" i="10" s="1"/>
  <c r="G35" i="10"/>
  <c r="K35" i="10" s="1"/>
  <c r="F35" i="10"/>
  <c r="J35" i="10" s="1"/>
  <c r="E35" i="10"/>
  <c r="I35" i="10" s="1"/>
  <c r="E34" i="10"/>
  <c r="I34" i="10" s="1"/>
  <c r="G33" i="10"/>
  <c r="K33" i="10" s="1"/>
  <c r="F33" i="10"/>
  <c r="J33" i="10" s="1"/>
  <c r="E33" i="10"/>
  <c r="I33" i="10" s="1"/>
  <c r="G32" i="10"/>
  <c r="G34" i="10" s="1"/>
  <c r="K34" i="10" s="1"/>
  <c r="F32" i="10"/>
  <c r="F34" i="10" s="1"/>
  <c r="J34" i="10" s="1"/>
  <c r="G28" i="10"/>
  <c r="F28" i="10"/>
  <c r="E28" i="10"/>
  <c r="G27" i="10"/>
  <c r="K27" i="10" s="1"/>
  <c r="F27" i="10"/>
  <c r="J27" i="10" s="1"/>
  <c r="E27" i="10"/>
  <c r="I27" i="10" s="1"/>
  <c r="K23" i="10"/>
  <c r="J23" i="10"/>
  <c r="I23" i="10"/>
  <c r="G22" i="10"/>
  <c r="K22" i="10" s="1"/>
  <c r="F22" i="10"/>
  <c r="J22" i="10" s="1"/>
  <c r="E22" i="10"/>
  <c r="I22" i="10" s="1"/>
  <c r="C17" i="8"/>
  <c r="C16" i="8"/>
  <c r="C15" i="8"/>
  <c r="C14" i="8"/>
  <c r="C12" i="7"/>
  <c r="C11" i="7"/>
  <c r="J79" i="8"/>
  <c r="K79" i="8"/>
  <c r="I79" i="8"/>
  <c r="F77" i="8"/>
  <c r="J77" i="8" s="1"/>
  <c r="G77" i="8"/>
  <c r="K77" i="8" s="1"/>
  <c r="E77" i="8"/>
  <c r="I77" i="8" s="1"/>
  <c r="F76" i="8"/>
  <c r="J76" i="8" s="1"/>
  <c r="G76" i="8"/>
  <c r="K76" i="8" s="1"/>
  <c r="E76" i="8"/>
  <c r="I76" i="8" s="1"/>
  <c r="I74" i="8"/>
  <c r="F71" i="8"/>
  <c r="F78" i="8" s="1"/>
  <c r="J78" i="8" s="1"/>
  <c r="G71" i="8"/>
  <c r="G78" i="8" s="1"/>
  <c r="K78" i="8" s="1"/>
  <c r="I63" i="8"/>
  <c r="J61" i="8"/>
  <c r="K61" i="8"/>
  <c r="I61" i="8"/>
  <c r="I60" i="8"/>
  <c r="J59" i="8"/>
  <c r="K59" i="8"/>
  <c r="I59" i="8"/>
  <c r="F55" i="8"/>
  <c r="G55" i="8"/>
  <c r="E47" i="8"/>
  <c r="I47" i="8" s="1"/>
  <c r="F46" i="8"/>
  <c r="J46" i="8" s="1"/>
  <c r="G46" i="8"/>
  <c r="K46" i="8" s="1"/>
  <c r="E46" i="8"/>
  <c r="I46" i="8" s="1"/>
  <c r="F45" i="8"/>
  <c r="J45" i="8" s="1"/>
  <c r="G45" i="8"/>
  <c r="K45" i="8" s="1"/>
  <c r="E45" i="8"/>
  <c r="I45" i="8" s="1"/>
  <c r="E44" i="8"/>
  <c r="I44" i="8" s="1"/>
  <c r="F42" i="8"/>
  <c r="G42" i="8"/>
  <c r="J32" i="8"/>
  <c r="K32" i="8"/>
  <c r="I32" i="8"/>
  <c r="F41" i="7"/>
  <c r="G41" i="7"/>
  <c r="J21" i="7" l="1"/>
  <c r="F50" i="7"/>
  <c r="K21" i="7"/>
  <c r="G50" i="7"/>
  <c r="I39" i="8"/>
  <c r="I15" i="8" s="1"/>
  <c r="I33" i="9"/>
  <c r="I12" i="9" s="1"/>
  <c r="G37" i="9"/>
  <c r="K37" i="9" s="1"/>
  <c r="G42" i="9"/>
  <c r="K42" i="9" s="1"/>
  <c r="K92" i="8"/>
  <c r="G66" i="8"/>
  <c r="G67" i="8" s="1"/>
  <c r="J92" i="8"/>
  <c r="F66" i="8"/>
  <c r="F67" i="8" s="1"/>
  <c r="I108" i="8"/>
  <c r="I19" i="8" s="1"/>
  <c r="I29" i="7"/>
  <c r="K11" i="8"/>
  <c r="K5" i="8" s="1"/>
  <c r="K7" i="1" s="1"/>
  <c r="K108" i="8"/>
  <c r="K19" i="8" s="1"/>
  <c r="J108" i="8"/>
  <c r="J19" i="8" s="1"/>
  <c r="J11" i="8"/>
  <c r="J5" i="8" s="1"/>
  <c r="J7" i="1" s="1"/>
  <c r="G56" i="8"/>
  <c r="F56" i="8"/>
  <c r="I51" i="8"/>
  <c r="I16" i="8" s="1"/>
  <c r="G44" i="8"/>
  <c r="K44" i="8" s="1"/>
  <c r="G48" i="8"/>
  <c r="K48" i="8" s="1"/>
  <c r="F47" i="8"/>
  <c r="J47" i="8" s="1"/>
  <c r="F48" i="8"/>
  <c r="J48" i="8" s="1"/>
  <c r="F34" i="8"/>
  <c r="J34" i="8" s="1"/>
  <c r="F36" i="8"/>
  <c r="J36" i="8" s="1"/>
  <c r="E36" i="8"/>
  <c r="I36" i="8" s="1"/>
  <c r="G34" i="8"/>
  <c r="K34" i="8" s="1"/>
  <c r="G36" i="8"/>
  <c r="K36" i="8" s="1"/>
  <c r="K30" i="8"/>
  <c r="J30" i="8"/>
  <c r="I30" i="8"/>
  <c r="I26" i="9"/>
  <c r="I21" i="9"/>
  <c r="K21" i="9"/>
  <c r="J21" i="9"/>
  <c r="I21" i="10"/>
  <c r="G68" i="10"/>
  <c r="K68" i="10" s="1"/>
  <c r="G48" i="10"/>
  <c r="K48" i="10" s="1"/>
  <c r="I63" i="10"/>
  <c r="I58" i="10" s="1"/>
  <c r="I56" i="10" s="1"/>
  <c r="F63" i="10"/>
  <c r="J63" i="10" s="1"/>
  <c r="F68" i="10"/>
  <c r="J68" i="10" s="1"/>
  <c r="G37" i="10"/>
  <c r="K37" i="10" s="1"/>
  <c r="K30" i="10" s="1"/>
  <c r="K28" i="10" s="1"/>
  <c r="K26" i="10" s="1"/>
  <c r="J29" i="7"/>
  <c r="K29" i="7"/>
  <c r="G38" i="9"/>
  <c r="K38" i="9" s="1"/>
  <c r="K21" i="10"/>
  <c r="F42" i="9"/>
  <c r="J42" i="9" s="1"/>
  <c r="I43" i="10"/>
  <c r="I41" i="10" s="1"/>
  <c r="J30" i="10"/>
  <c r="J28" i="10" s="1"/>
  <c r="J26" i="10" s="1"/>
  <c r="J21" i="10"/>
  <c r="I30" i="10"/>
  <c r="I28" i="10" s="1"/>
  <c r="I26" i="10" s="1"/>
  <c r="G65" i="10"/>
  <c r="K65" i="10" s="1"/>
  <c r="K63" i="10"/>
  <c r="F50" i="10"/>
  <c r="J50" i="10" s="1"/>
  <c r="G50" i="10"/>
  <c r="K50" i="10" s="1"/>
  <c r="F53" i="10"/>
  <c r="J53" i="10" s="1"/>
  <c r="F44" i="8"/>
  <c r="J44" i="8" s="1"/>
  <c r="G47" i="8"/>
  <c r="K47" i="8" s="1"/>
  <c r="I75" i="8"/>
  <c r="I65" i="8" s="1"/>
  <c r="I17" i="8" s="1"/>
  <c r="G51" i="7" l="1"/>
  <c r="K51" i="7" s="1"/>
  <c r="K13" i="7" s="1"/>
  <c r="K50" i="7"/>
  <c r="F51" i="7"/>
  <c r="J51" i="7" s="1"/>
  <c r="J13" i="7" s="1"/>
  <c r="J50" i="7"/>
  <c r="J39" i="8"/>
  <c r="J15" i="8" s="1"/>
  <c r="K39" i="8"/>
  <c r="K15" i="8" s="1"/>
  <c r="K74" i="8"/>
  <c r="G72" i="8"/>
  <c r="K72" i="8" s="1"/>
  <c r="J74" i="8"/>
  <c r="F72" i="8"/>
  <c r="J72" i="8" s="1"/>
  <c r="F65" i="10"/>
  <c r="J65" i="10" s="1"/>
  <c r="J58" i="10" s="1"/>
  <c r="J56" i="10" s="1"/>
  <c r="G73" i="8"/>
  <c r="K73" i="8" s="1"/>
  <c r="G75" i="8"/>
  <c r="K75" i="8" s="1"/>
  <c r="K33" i="9"/>
  <c r="K12" i="9" s="1"/>
  <c r="F75" i="8"/>
  <c r="J75" i="8" s="1"/>
  <c r="J89" i="8"/>
  <c r="F73" i="8"/>
  <c r="J73" i="8" s="1"/>
  <c r="K89" i="8"/>
  <c r="I24" i="7"/>
  <c r="I18" i="7" s="1"/>
  <c r="I11" i="7" s="1"/>
  <c r="F58" i="8"/>
  <c r="J58" i="8" s="1"/>
  <c r="F63" i="8"/>
  <c r="J63" i="8" s="1"/>
  <c r="F60" i="8"/>
  <c r="J60" i="8" s="1"/>
  <c r="G63" i="8"/>
  <c r="K63" i="8" s="1"/>
  <c r="G60" i="8"/>
  <c r="K60" i="8" s="1"/>
  <c r="G58" i="8"/>
  <c r="K58" i="8" s="1"/>
  <c r="I24" i="8"/>
  <c r="I14" i="8" s="1"/>
  <c r="J24" i="8"/>
  <c r="J14" i="8" s="1"/>
  <c r="K24" i="8"/>
  <c r="K14" i="8" s="1"/>
  <c r="K24" i="7"/>
  <c r="K18" i="7" s="1"/>
  <c r="K11" i="7" s="1"/>
  <c r="J24" i="7"/>
  <c r="J18" i="7" s="1"/>
  <c r="J11" i="7" s="1"/>
  <c r="K43" i="10"/>
  <c r="K41" i="10" s="1"/>
  <c r="F38" i="9"/>
  <c r="J38" i="9" s="1"/>
  <c r="F37" i="9"/>
  <c r="J37" i="9" s="1"/>
  <c r="K58" i="10"/>
  <c r="K56" i="10" s="1"/>
  <c r="J43" i="10"/>
  <c r="J41" i="10" s="1"/>
  <c r="J8" i="7" l="1"/>
  <c r="J47" i="7"/>
  <c r="K8" i="7"/>
  <c r="K47" i="7"/>
  <c r="K65" i="8"/>
  <c r="K17" i="8" s="1"/>
  <c r="J65" i="8"/>
  <c r="J17" i="8" s="1"/>
  <c r="J33" i="9"/>
  <c r="J12" i="9" s="1"/>
  <c r="J90" i="8"/>
  <c r="K90" i="8"/>
  <c r="J51" i="8"/>
  <c r="J16" i="8" s="1"/>
  <c r="K51" i="8"/>
  <c r="K16" i="8" s="1"/>
  <c r="E40" i="6" l="1"/>
  <c r="J24" i="9" s="1"/>
  <c r="F40" i="6"/>
  <c r="K24" i="9" s="1"/>
  <c r="D40" i="6"/>
  <c r="I24" i="9" s="1"/>
  <c r="E38" i="6"/>
  <c r="J82" i="8" s="1"/>
  <c r="J18" i="8" s="1"/>
  <c r="J13" i="8" s="1"/>
  <c r="F38" i="6"/>
  <c r="K82" i="8" s="1"/>
  <c r="K18" i="8" s="1"/>
  <c r="K13" i="8" s="1"/>
  <c r="D38" i="6"/>
  <c r="I82" i="8" s="1"/>
  <c r="I18" i="8" s="1"/>
  <c r="I13" i="8" s="1"/>
  <c r="E37" i="6"/>
  <c r="F37" i="6"/>
  <c r="D37" i="6"/>
  <c r="K21" i="8" l="1"/>
  <c r="K12" i="1"/>
  <c r="J21" i="8"/>
  <c r="J12" i="1"/>
  <c r="I21" i="8"/>
  <c r="I12" i="1"/>
  <c r="I19" i="9"/>
  <c r="K19" i="9"/>
  <c r="J19" i="9"/>
  <c r="I78" i="10"/>
  <c r="I36" i="7"/>
  <c r="K42" i="7"/>
  <c r="J84" i="10"/>
  <c r="J80" i="10"/>
  <c r="K38" i="7"/>
  <c r="K34" i="7"/>
  <c r="J76" i="10"/>
  <c r="I37" i="7"/>
  <c r="I79" i="10"/>
  <c r="K83" i="10"/>
  <c r="J41" i="7"/>
  <c r="K79" i="10"/>
  <c r="J37" i="7"/>
  <c r="K75" i="10"/>
  <c r="J33" i="7"/>
  <c r="J83" i="10"/>
  <c r="K41" i="7"/>
  <c r="I81" i="10"/>
  <c r="I39" i="7"/>
  <c r="J40" i="7"/>
  <c r="K82" i="10"/>
  <c r="J36" i="7"/>
  <c r="K78" i="10"/>
  <c r="I82" i="10"/>
  <c r="I40" i="7"/>
  <c r="J82" i="10"/>
  <c r="K40" i="7"/>
  <c r="J78" i="10"/>
  <c r="K36" i="7"/>
  <c r="I38" i="7"/>
  <c r="I80" i="10"/>
  <c r="I75" i="10"/>
  <c r="I33" i="7"/>
  <c r="I83" i="10"/>
  <c r="I41" i="7"/>
  <c r="J39" i="7"/>
  <c r="K81" i="10"/>
  <c r="K77" i="10"/>
  <c r="J35" i="7"/>
  <c r="J75" i="10"/>
  <c r="K33" i="7"/>
  <c r="J77" i="10"/>
  <c r="K35" i="7"/>
  <c r="J79" i="10"/>
  <c r="K37" i="7"/>
  <c r="I34" i="7"/>
  <c r="I76" i="10"/>
  <c r="I42" i="7"/>
  <c r="I84" i="10"/>
  <c r="K39" i="7"/>
  <c r="J81" i="10"/>
  <c r="I77" i="10"/>
  <c r="I35" i="7"/>
  <c r="K84" i="10"/>
  <c r="J42" i="7"/>
  <c r="K80" i="10"/>
  <c r="J38" i="7"/>
  <c r="K76" i="10"/>
  <c r="J34" i="7"/>
  <c r="J17" i="9" l="1"/>
  <c r="K17" i="9"/>
  <c r="I17" i="9"/>
  <c r="I74" i="10"/>
  <c r="I72" i="10" s="1"/>
  <c r="J31" i="7"/>
  <c r="J7" i="7" s="1"/>
  <c r="J5" i="7" s="1"/>
  <c r="J6" i="1" s="1"/>
  <c r="J74" i="10"/>
  <c r="J72" i="10" s="1"/>
  <c r="K74" i="10"/>
  <c r="K72" i="10" s="1"/>
  <c r="K31" i="7"/>
  <c r="K7" i="7" s="1"/>
  <c r="K5" i="7" s="1"/>
  <c r="K6" i="1" s="1"/>
  <c r="I31" i="7"/>
  <c r="I7" i="7" s="1"/>
  <c r="I5" i="7" s="1"/>
  <c r="I6" i="1" s="1"/>
  <c r="J5" i="1" l="1"/>
  <c r="J11" i="9"/>
  <c r="J10" i="9" s="1"/>
  <c r="K5" i="1"/>
  <c r="K11" i="9"/>
  <c r="K10" i="9" s="1"/>
  <c r="I11" i="9"/>
  <c r="I10" i="9" s="1"/>
  <c r="I5" i="1"/>
  <c r="K44" i="7"/>
  <c r="K12" i="7" s="1"/>
  <c r="K10" i="7" s="1"/>
  <c r="J44" i="7"/>
  <c r="J12" i="7" s="1"/>
  <c r="J10" i="7" s="1"/>
  <c r="I44" i="7"/>
  <c r="I12" i="7" s="1"/>
  <c r="I10" i="7" s="1"/>
  <c r="I13" i="10"/>
  <c r="I12" i="10"/>
  <c r="K13" i="10"/>
  <c r="K12" i="10"/>
  <c r="J13" i="10"/>
  <c r="J12" i="10"/>
  <c r="I14" i="9" l="1"/>
  <c r="I13" i="1"/>
  <c r="K14" i="9"/>
  <c r="K13" i="1"/>
  <c r="J14" i="9"/>
  <c r="J13" i="1"/>
  <c r="I6" i="10"/>
  <c r="I15" i="7"/>
  <c r="I11" i="1"/>
  <c r="J15" i="7"/>
  <c r="J11" i="1"/>
  <c r="K15" i="7"/>
  <c r="K11" i="1"/>
  <c r="K6" i="10"/>
  <c r="J6" i="10"/>
  <c r="K10" i="1" l="1"/>
  <c r="K14" i="1" s="1"/>
  <c r="K23" i="1" s="1"/>
  <c r="I10" i="1"/>
  <c r="I14" i="1" s="1"/>
  <c r="I22" i="1" s="1"/>
  <c r="J10" i="1"/>
  <c r="J14" i="1" s="1"/>
  <c r="J23" i="1" s="1"/>
  <c r="K22" i="1" l="1"/>
  <c r="K21" i="1"/>
  <c r="I23" i="1"/>
  <c r="I21" i="1"/>
  <c r="J22" i="1"/>
  <c r="J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tc={F1B28185-6C24-4BD4-954B-F7908B6E0ED9}</author>
  </authors>
  <commentList>
    <comment ref="C32" authorId="0" shapeId="0" xr:uid="{F1B28185-6C24-4BD4-954B-F7908B6E0ED9}">
      <text>
        <t>[Threaded comment]
Your version of Excel allows you to read this threaded comment; however, any edits to it will get removed if the file is opened in a newer version of Excel. Learn more: https://go.microsoft.com/fwlink/?linkid=870924
Comment:
    Taken as is from soul city budget documentation and adjusted for inflation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tc={63130D4F-26E9-4F4D-B233-26920F173ECF}</author>
    <author>tc={39217DD3-B8E1-439C-A7CC-34BA1750758E}</author>
    <author>tc={A07CE228-D3F8-4A69-82A6-0713DEAAA3E7}</author>
    <author>tc={4BFC6026-D8C1-4014-ABDF-77E0C6F41F08}</author>
  </authors>
  <commentList>
    <comment ref="C24" authorId="0" shapeId="0" xr:uid="{63130D4F-26E9-4F4D-B233-26920F173ECF}">
      <text>
        <t>[Threaded comment]
Your version of Excel allows you to read this threaded comment; however, any edits to it will get removed if the file is opened in a newer version of Excel. Learn more: https://go.microsoft.com/fwlink/?linkid=870924
Comment:
    3 people per club trained in rise young women methodology per annum 
 Training once per annum</t>
      </text>
    </comment>
    <comment ref="C39" authorId="1" shapeId="0" xr:uid="{39217DD3-B8E1-439C-A7CC-34BA1750758E}">
      <text>
        <t>[Threaded comment]
Your version of Excel allows you to read this threaded comment; however, any edits to it will get removed if the file is opened in a newer version of Excel. Learn more: https://go.microsoft.com/fwlink/?linkid=870924
Comment:
    Training of club mentors 1 mentor per 20 clubs, 490 clubs so 24 mentors in total and they are trained annually</t>
      </text>
    </comment>
    <comment ref="C51" authorId="2" shapeId="0" xr:uid="{A07CE228-D3F8-4A69-82A6-0713DEAAA3E7}">
      <text>
        <t>[Threaded comment]
Your version of Excel allows you to read this threaded comment; however, any edits to it will get removed if the file is opened in a newer version of Excel. Learn more: https://go.microsoft.com/fwlink/?linkid=870924
Comment:
    Annual Provincial Meeting - 100 Members per province</t>
      </text>
    </comment>
    <comment ref="C65" authorId="3" shapeId="0" xr:uid="{4BFC6026-D8C1-4014-ABDF-77E0C6F41F08}">
      <text>
        <t>[Threaded comment]
Your version of Excel allows you to read this threaded comment; however, any edits to it will get removed if the file is opened in a newer version of Excel. Learn more: https://go.microsoft.com/fwlink/?linkid=870924
Comment:
    Provincial Congresses  4 in total. 2 Day Social Cohesion and Skills Building motivational workshop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tc={CC6B73BC-D282-46A2-B6F1-2848686D2D40}</author>
    <author>tc={5DA61A38-E543-428E-A968-B0E56CEC95DC}</author>
    <author>tc={DD47CDA5-13F5-4FC5-A149-0BD4CAF81BFC}</author>
    <author>tc={2B744326-000A-4BD9-BA9C-04EE2BF1C821}</author>
    <author>tc={F449DDFB-90BF-420C-8DAF-ED60235F8DF3}</author>
    <author>tc={ED195F74-F2C4-4652-9C47-2AAA359F383E}</author>
    <author>tc={3AB8B1AE-E4E1-4532-937E-2AB9B2B55A8A}</author>
  </authors>
  <commentList>
    <comment ref="C21" authorId="0" shapeId="0" xr:uid="{CC6B73BC-D282-46A2-B6F1-2848686D2D40}">
      <text>
        <t>[Threaded comment]
Your version of Excel allows you to read this threaded comment; however, any edits to it will get removed if the file is opened in a newer version of Excel. Learn more: https://go.microsoft.com/fwlink/?linkid=870924
Comment:
    3 people per club trained in rise young women methodology per annum 
 Training once per annum</t>
      </text>
    </comment>
    <comment ref="C26" authorId="1" shapeId="0" xr:uid="{5DA61A38-E543-428E-A968-B0E56CEC95DC}">
      <text>
        <t>[Threaded comment]
Your version of Excel allows you to read this threaded comment; however, any edits to it will get removed if the file is opened in a newer version of Excel. Learn more: https://go.microsoft.com/fwlink/?linkid=870924
Comment:
    Training of club mentors 1 mentor per 20 clubs, 490 clubs so 24 mentors in total and they are trained annually</t>
      </text>
    </comment>
    <comment ref="C28" authorId="2" shapeId="0" xr:uid="{DD47CDA5-13F5-4FC5-A149-0BD4CAF81BF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1 member per club per 20 clubs. There are 490 clubs
So training happens annually for 24 members
</t>
      </text>
    </comment>
    <comment ref="C40" authorId="3" shapeId="0" xr:uid="{2B744326-000A-4BD9-BA9C-04EE2BF1C821}">
      <text>
        <t>[Threaded comment]
Your version of Excel allows you to read this threaded comment; however, any edits to it will get removed if the file is opened in a newer version of Excel. Learn more: https://go.microsoft.com/fwlink/?linkid=870924
Comment:
    Annual Provincial Meeting - 100 Members per province</t>
      </text>
    </comment>
    <comment ref="C41" authorId="4" shapeId="0" xr:uid="{F449DDFB-90BF-420C-8DAF-ED60235F8DF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1 member per club per 20 clubs. There are 490 clubs
So training happens annually for 24 members
</t>
      </text>
    </comment>
    <comment ref="C55" authorId="5" shapeId="0" xr:uid="{ED195F74-F2C4-4652-9C47-2AAA359F383E}">
      <text>
        <t>[Threaded comment]
Your version of Excel allows you to read this threaded comment; however, any edits to it will get removed if the file is opened in a newer version of Excel. Learn more: https://go.microsoft.com/fwlink/?linkid=870924
Comment:
    Provincial Congresses  4 in total. 2 Day Social Cohesion and Skills Building motivational workshop</t>
      </text>
    </comment>
    <comment ref="C74" authorId="6" shapeId="0" xr:uid="{3AB8B1AE-E4E1-4532-937E-2AB9B2B55A8A}">
      <text>
        <t>[Threaded comment]
Your version of Excel allows you to read this threaded comment; however, any edits to it will get removed if the file is opened in a newer version of Excel. Learn more: https://go.microsoft.com/fwlink/?linkid=870924
Comment:
    Taken as is from soul city budget documentation and adjusted for inflation</t>
      </text>
    </comment>
  </commentList>
</comments>
</file>

<file path=xl/sharedStrings.xml><?xml version="1.0" encoding="utf-8"?>
<sst xmlns="http://schemas.openxmlformats.org/spreadsheetml/2006/main" count="414" uniqueCount="197">
  <si>
    <t>Club member training</t>
  </si>
  <si>
    <t>Club mentor training (fieldworker training)</t>
  </si>
  <si>
    <t>Cost per club</t>
  </si>
  <si>
    <t>Meals</t>
  </si>
  <si>
    <t>Programme management</t>
  </si>
  <si>
    <t>Finance and Admin management</t>
  </si>
  <si>
    <t xml:space="preserve">Costing Tool to cost the </t>
  </si>
  <si>
    <t xml:space="preserve">Model developed by </t>
  </si>
  <si>
    <t>Senior Economist</t>
  </si>
  <si>
    <t>supported by</t>
  </si>
  <si>
    <t>Soul City Young Women's Rise Clubs</t>
  </si>
  <si>
    <t>May 2023</t>
  </si>
  <si>
    <t xml:space="preserve">Model developed for
</t>
  </si>
  <si>
    <t>Debbie Budlender</t>
  </si>
  <si>
    <t>Independent consultant</t>
  </si>
  <si>
    <t>Carmen Abdoll</t>
  </si>
  <si>
    <t>carmen@cornerstonesa.net</t>
  </si>
  <si>
    <t>Costing scenarios</t>
  </si>
  <si>
    <t>Scenario 1</t>
  </si>
  <si>
    <t>Scenario 2</t>
  </si>
  <si>
    <t>Scenario 3</t>
  </si>
  <si>
    <t>Enhanced</t>
  </si>
  <si>
    <t>Ideal</t>
  </si>
  <si>
    <t>Once-off activities</t>
  </si>
  <si>
    <t>Ongoing activities</t>
  </si>
  <si>
    <t>Other</t>
  </si>
  <si>
    <t>Distribution of materials</t>
  </si>
  <si>
    <t>Head office costs</t>
  </si>
  <si>
    <t>Number of units</t>
  </si>
  <si>
    <t>General Assumptions</t>
  </si>
  <si>
    <t>Changing assumptions</t>
  </si>
  <si>
    <t xml:space="preserve">If a number is in a clear cell or a yellow cell then it is a calculated amount based on the assumptions in the blue cells. The clear or yellow cells must not be 'over-typed' as they contain formulae (this will not be possible so long as the locked status of the spread sheets it maintained). </t>
  </si>
  <si>
    <t>Salaries</t>
  </si>
  <si>
    <t>Telephone</t>
  </si>
  <si>
    <t>per staff member</t>
  </si>
  <si>
    <t xml:space="preserve">Vehicle  </t>
  </si>
  <si>
    <t>Equipment replacement costs as percent of purchase value</t>
  </si>
  <si>
    <t>Vehicle replacement costs as percent of purchase value</t>
  </si>
  <si>
    <t>Cost of office supplies (pens, notepads, printing and photocopying etc) per staff member / year</t>
  </si>
  <si>
    <t>Office supplies</t>
  </si>
  <si>
    <t>Debriefing for staff</t>
  </si>
  <si>
    <t>per staff member (12 sessions a year)</t>
  </si>
  <si>
    <t>Refreshments</t>
  </si>
  <si>
    <t>per call</t>
  </si>
  <si>
    <t>telkom cost per minute is R1.30 multiplied by average call time of 5 minutes</t>
  </si>
  <si>
    <t>Vehicle operating costs</t>
  </si>
  <si>
    <t>Licencing per year</t>
  </si>
  <si>
    <t>Cost per km (includes cost of maintenance)</t>
  </si>
  <si>
    <t>Scenarios (2023 Rands)</t>
  </si>
  <si>
    <t>Car hire</t>
  </si>
  <si>
    <t>per day</t>
  </si>
  <si>
    <t>Participant daily subsistence</t>
  </si>
  <si>
    <t>Daily subsistence</t>
  </si>
  <si>
    <t>per person</t>
  </si>
  <si>
    <t>Question</t>
  </si>
  <si>
    <t>Is this training only 1 day training with no need for accommodation or food?</t>
  </si>
  <si>
    <t xml:space="preserve">Average distance travelled per club </t>
  </si>
  <si>
    <t>km</t>
  </si>
  <si>
    <t>based on budget documentation</t>
  </si>
  <si>
    <t>Car travel for club member to training</t>
  </si>
  <si>
    <t>Venue fee</t>
  </si>
  <si>
    <t>Club portion of training costs</t>
  </si>
  <si>
    <t>It is assumed that the training happens over 4 days</t>
  </si>
  <si>
    <t>Car hire for SC provincial team</t>
  </si>
  <si>
    <t>per day per participant</t>
  </si>
  <si>
    <t>Total number of club members trained per annum</t>
  </si>
  <si>
    <t>Overall training assumptions</t>
  </si>
  <si>
    <t>Car hire for SC staff</t>
  </si>
  <si>
    <t>Training days</t>
  </si>
  <si>
    <t>Accommodation for trainers</t>
  </si>
  <si>
    <t>Accommodation</t>
  </si>
  <si>
    <t>Training manuals</t>
  </si>
  <si>
    <t>per manual</t>
  </si>
  <si>
    <t>Provincial Meeting/Congres</t>
  </si>
  <si>
    <t>Overheads</t>
  </si>
  <si>
    <t>Return flight</t>
  </si>
  <si>
    <t>Number of head office staff to attend</t>
  </si>
  <si>
    <t>Flights for head office staff</t>
  </si>
  <si>
    <t>Transport for club members</t>
  </si>
  <si>
    <t>How many club members usually get to attend</t>
  </si>
  <si>
    <t>It is assumed that at least 10 members attend per annum</t>
  </si>
  <si>
    <t>District congress</t>
  </si>
  <si>
    <t>Club portion of congress costs</t>
  </si>
  <si>
    <t>Congress days</t>
  </si>
  <si>
    <t>Total participants per congress</t>
  </si>
  <si>
    <t>Currently 3 people per club attends</t>
  </si>
  <si>
    <t>Congress awards</t>
  </si>
  <si>
    <t>District awards</t>
  </si>
  <si>
    <t>per congress (1st, 2nd and 3rd prize)</t>
  </si>
  <si>
    <t>Accommodation for participants</t>
  </si>
  <si>
    <t>A</t>
  </si>
  <si>
    <t>Club portion of materials costs</t>
  </si>
  <si>
    <t>Overall materials production assumptions</t>
  </si>
  <si>
    <t>Development research</t>
  </si>
  <si>
    <t>Editorial management</t>
  </si>
  <si>
    <t>Editing</t>
  </si>
  <si>
    <t>Design and Layout</t>
  </si>
  <si>
    <t>Artwork</t>
  </si>
  <si>
    <t>Project management</t>
  </si>
  <si>
    <t>Translations</t>
  </si>
  <si>
    <t>Travel</t>
  </si>
  <si>
    <t>Print</t>
  </si>
  <si>
    <t>Distribution</t>
  </si>
  <si>
    <t>per issue</t>
  </si>
  <si>
    <t>1 issue per club member, each club has about 17 members. Total members = 8330</t>
  </si>
  <si>
    <t>Current</t>
  </si>
  <si>
    <t>Head office cost</t>
  </si>
  <si>
    <t>Club activities</t>
  </si>
  <si>
    <t>Materials</t>
  </si>
  <si>
    <t>Overall Total per club</t>
  </si>
  <si>
    <t>B</t>
  </si>
  <si>
    <t>Total cost</t>
  </si>
  <si>
    <t>Provincial Meeting/Congress</t>
  </si>
  <si>
    <t>Venue hire</t>
  </si>
  <si>
    <t>Training assumptions</t>
  </si>
  <si>
    <t>Rise club meetings</t>
  </si>
  <si>
    <t>Travel to communities</t>
  </si>
  <si>
    <t>Telephone costs</t>
  </si>
  <si>
    <t>Data costs</t>
  </si>
  <si>
    <t>Provincial mapping of communities</t>
  </si>
  <si>
    <t>Meetings</t>
  </si>
  <si>
    <t>Number of meetings per year</t>
  </si>
  <si>
    <t>Average number of trips per province</t>
  </si>
  <si>
    <t>Average distance travelled for community mobalisation</t>
  </si>
  <si>
    <t>Meeting venue hire</t>
  </si>
  <si>
    <t>Average distance per community trip</t>
  </si>
  <si>
    <t>Average number of calls per province</t>
  </si>
  <si>
    <t>Facilitator guide development and testing</t>
  </si>
  <si>
    <t>Participant guide development and testing</t>
  </si>
  <si>
    <t>Once off costs</t>
  </si>
  <si>
    <t>Ongoing costs</t>
  </si>
  <si>
    <t>Number of events per year (all provinces)</t>
  </si>
  <si>
    <t>Transportation</t>
  </si>
  <si>
    <t>Number of people reached per event</t>
  </si>
  <si>
    <t>Informational materials</t>
  </si>
  <si>
    <t>Contraceptives</t>
  </si>
  <si>
    <t>Condom distribution</t>
  </si>
  <si>
    <t>per pack</t>
  </si>
  <si>
    <t>Data</t>
  </si>
  <si>
    <t>per person per month</t>
  </si>
  <si>
    <t>Stipends for social mobilisers</t>
  </si>
  <si>
    <t>Social mobilisers</t>
  </si>
  <si>
    <t>Training</t>
  </si>
  <si>
    <t>Club Actvities</t>
  </si>
  <si>
    <t>Number of provinces active</t>
  </si>
  <si>
    <t>Number of active clubs</t>
  </si>
  <si>
    <t>Average number of members per club</t>
  </si>
  <si>
    <t>Cost per member</t>
  </si>
  <si>
    <t>Provincial officers</t>
  </si>
  <si>
    <t>Head office managers</t>
  </si>
  <si>
    <t>Head office execituve</t>
  </si>
  <si>
    <t>Cornerstone Economic Research</t>
  </si>
  <si>
    <t>all provinces</t>
  </si>
  <si>
    <t>Cost per people reached per event</t>
  </si>
  <si>
    <t>Proportion of time on programme</t>
  </si>
  <si>
    <t>Financial Assumptions</t>
  </si>
  <si>
    <t>Operational expenses as a per cent of total salary costs - where not specified elsewhere</t>
  </si>
  <si>
    <t>Once off</t>
  </si>
  <si>
    <t>Development of materials</t>
  </si>
  <si>
    <t>Annual repurposing of materials</t>
  </si>
  <si>
    <t xml:space="preserve">Ongoing </t>
  </si>
  <si>
    <t>Number of provincial officers</t>
  </si>
  <si>
    <t>C</t>
  </si>
  <si>
    <t>Monitoring and evaluation</t>
  </si>
  <si>
    <t>M&amp;E software license</t>
  </si>
  <si>
    <t>Annual renewal</t>
  </si>
  <si>
    <t>Goldmine software license once off purchase</t>
  </si>
  <si>
    <t>Goldmine software annual renewal</t>
  </si>
  <si>
    <t>Training material development</t>
  </si>
  <si>
    <t>usually held at a no cost venue</t>
  </si>
  <si>
    <t>Transport reimbursement for participants</t>
  </si>
  <si>
    <t>Number of active provinces</t>
  </si>
  <si>
    <t>Number of club members trained per annum per province</t>
  </si>
  <si>
    <t>Total club members trained per annum</t>
  </si>
  <si>
    <t>Number of participants per district</t>
  </si>
  <si>
    <t>Number of congresses held per year (all provinces)</t>
  </si>
  <si>
    <t>Average number of districts active per province</t>
  </si>
  <si>
    <t>National congress</t>
  </si>
  <si>
    <t>Number of guest speakers invites</t>
  </si>
  <si>
    <t>Conference meals</t>
  </si>
  <si>
    <t>Accommodation for guest speakers</t>
  </si>
  <si>
    <t>Large venue fee</t>
  </si>
  <si>
    <t>Club projects - advocacy events</t>
  </si>
  <si>
    <t xml:space="preserve">% of events with mobile testing </t>
  </si>
  <si>
    <t>Number of mobile clinics</t>
  </si>
  <si>
    <t xml:space="preserve">Mobile clinic </t>
  </si>
  <si>
    <t>usually held at free venue</t>
  </si>
  <si>
    <t>Head office executive</t>
  </si>
  <si>
    <t>Number of club members trained per club</t>
  </si>
  <si>
    <t>Number of training per year (8 per province)</t>
  </si>
  <si>
    <t>8 per province to limit number of participants per training</t>
  </si>
  <si>
    <t>Number of trainers</t>
  </si>
  <si>
    <r>
      <t>As a general rule: if a number is in a</t>
    </r>
    <r>
      <rPr>
        <sz val="10"/>
        <rFont val="Arial Narrow"/>
        <family val="2"/>
      </rPr>
      <t xml:space="preserve"> blue cell </t>
    </r>
    <r>
      <rPr>
        <sz val="10"/>
        <color theme="1"/>
        <rFont val="Arial Narrow"/>
        <family val="2"/>
      </rPr>
      <t xml:space="preserve">then it is a variable that can be changed by the user.  </t>
    </r>
  </si>
  <si>
    <t>Personnel</t>
  </si>
  <si>
    <t>Average number of social mobilisers per province</t>
  </si>
  <si>
    <t>Programme implementation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</si>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</sst>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0.0%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Arial"/>
      <family val="2"/>
    </font>
    <font>
      <b/>
      <i/>
      <sz val="22"/>
      <color theme="0" tint="-0.499984740745262"/>
      <name val="Times New Roman"/>
      <family val="1"/>
    </font>
    <font>
      <sz val="18"/>
      <color rgb="FF000000"/>
      <name val="Times New Roman"/>
      <family val="1"/>
    </font>
    <font>
      <b/>
      <i/>
      <sz val="20"/>
      <color theme="4" tint="-0.249977111117893"/>
      <name val="Arial"/>
      <family val="2"/>
    </font>
    <font>
      <b/>
      <i/>
      <sz val="22"/>
      <color theme="4" tint="-0.249977111117893"/>
      <name val="Arial"/>
      <family val="2"/>
    </font>
    <font>
      <b/>
      <sz val="14"/>
      <color rgb="FFFF000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theme="1"/>
      <name val="Arial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sz val="20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Arial"/>
      <family val="2"/>
    </font>
    <font>
      <sz val="9.5"/>
      <color rgb="FF222222"/>
      <name val="Arial"/>
      <family val="2"/>
    </font>
    <font>
      <sz val="8"/>
      <name val="Calibri"/>
      <family val="2"/>
      <scheme val="minor"/>
    </font>
    <font>
      <sz val="9.5"/>
      <name val="Arial"/>
      <family val="2"/>
    </font>
    <font>
      <sz val="20"/>
      <name val="Calibri"/>
      <family val="2"/>
      <scheme val="minor"/>
    </font>
    <font>
      <sz val="8"/>
      <name val="Times New Roman"/>
      <family val="1"/>
    </font>
    <font>
      <b/>
      <i/>
      <sz val="16"/>
      <color theme="4" tint="-0.249977111117893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B050"/>
      <name val="Arial Narrow"/>
      <family val="2"/>
    </font>
    <font>
      <sz val="11"/>
      <color rgb="FFC00000"/>
      <name val="Calibri"/>
      <family val="2"/>
      <scheme val="minor"/>
    </font>
    <font>
      <b/>
      <sz val="11"/>
      <color theme="0"/>
      <name val="Arial Narrow"/>
      <family val="2"/>
    </font>
    <font>
      <b/>
      <sz val="11"/>
      <color rgb="FF000000"/>
      <name val="Arial Narrow"/>
      <family val="2"/>
    </font>
    <font>
      <sz val="10"/>
      <color theme="0" tint="-4.9989318521683403E-2"/>
      <name val="Arial Narrow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  <font>
      <sz val="11"/>
      <color rgb="FFFF0000"/>
      <name val="Calibri"/>
      <family val="2"/>
      <scheme val="minor"/>
    </font>
    <font>
      <i/>
      <sz val="10"/>
      <color theme="1"/>
      <name val="Arial Narrow"/>
      <family val="2"/>
    </font>
    <font>
      <sz val="11"/>
      <color rgb="FFFF0000"/>
      <name val="Arial Narrow"/>
      <family val="2"/>
    </font>
    <font>
      <sz val="10"/>
      <color theme="1"/>
      <name val="Arial"/>
      <family val="2"/>
    </font>
    <font>
      <b/>
      <sz val="8"/>
      <color theme="1"/>
      <name val="Arial Narrow"/>
      <family val="2"/>
    </font>
    <font>
      <b/>
      <i/>
      <sz val="10"/>
      <color theme="1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ck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174">
    <xf numFmtId="0" fontId="0" fillId="0" borderId="0" xfId="0"/>
    <xf numFmtId="0" fontId="0" fillId="3" borderId="0" xfId="0" applyFill="1"/>
    <xf numFmtId="0" fontId="6" fillId="3" borderId="0" xfId="0" applyFont="1" applyFill="1" applyAlignment="1">
      <alignment horizontal="center"/>
    </xf>
    <xf numFmtId="0" fontId="7" fillId="0" borderId="0" xfId="0" applyFont="1" applyAlignment="1">
      <alignment horizontal="right" vertical="center" readingOrder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1" fillId="3" borderId="0" xfId="0" applyNumberFormat="1" applyFont="1" applyFill="1" applyAlignment="1">
      <alignment horizontal="center"/>
    </xf>
    <xf numFmtId="0" fontId="14" fillId="3" borderId="0" xfId="0" applyFont="1" applyFill="1" applyAlignment="1">
      <alignment vertical="top" wrapText="1"/>
    </xf>
    <xf numFmtId="0" fontId="15" fillId="0" borderId="0" xfId="0" applyFont="1" applyAlignment="1">
      <alignment horizontal="justify" vertical="center" wrapText="1"/>
    </xf>
    <xf numFmtId="0" fontId="16" fillId="3" borderId="0" xfId="0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8" fillId="0" borderId="0" xfId="0" applyFont="1"/>
    <xf numFmtId="0" fontId="19" fillId="0" borderId="0" xfId="5" applyFont="1"/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3" fillId="0" borderId="0" xfId="0" applyFont="1"/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4" fillId="0" borderId="0" xfId="0" applyFont="1"/>
    <xf numFmtId="0" fontId="4" fillId="0" borderId="0" xfId="5" applyAlignment="1">
      <alignment vertical="center" wrapText="1"/>
    </xf>
    <xf numFmtId="0" fontId="20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25" fillId="3" borderId="0" xfId="0" applyFont="1" applyFill="1" applyAlignment="1">
      <alignment horizontal="center"/>
    </xf>
    <xf numFmtId="0" fontId="26" fillId="0" borderId="0" xfId="1" applyNumberFormat="1" applyFont="1" applyAlignment="1">
      <alignment horizontal="center"/>
    </xf>
    <xf numFmtId="0" fontId="4" fillId="0" borderId="0" xfId="5"/>
    <xf numFmtId="0" fontId="27" fillId="0" borderId="0" xfId="0" applyFont="1" applyAlignment="1">
      <alignment vertical="top" wrapText="1"/>
    </xf>
    <xf numFmtId="165" fontId="27" fillId="0" borderId="0" xfId="1" applyNumberFormat="1" applyFont="1" applyAlignment="1">
      <alignment horizontal="left" vertical="top" wrapText="1"/>
    </xf>
    <xf numFmtId="0" fontId="28" fillId="0" borderId="0" xfId="0" applyFont="1" applyAlignment="1">
      <alignment vertical="top"/>
    </xf>
    <xf numFmtId="0" fontId="30" fillId="0" borderId="0" xfId="0" applyFont="1" applyAlignment="1">
      <alignment horizontal="center" vertical="top"/>
    </xf>
    <xf numFmtId="0" fontId="30" fillId="0" borderId="0" xfId="0" applyFont="1" applyAlignment="1">
      <alignment horizontal="right"/>
    </xf>
    <xf numFmtId="0" fontId="27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30" fillId="6" borderId="0" xfId="0" applyFont="1" applyFill="1" applyAlignment="1">
      <alignment vertical="top"/>
    </xf>
    <xf numFmtId="0" fontId="28" fillId="6" borderId="0" xfId="0" applyFont="1" applyFill="1" applyAlignment="1">
      <alignment vertical="top"/>
    </xf>
    <xf numFmtId="165" fontId="27" fillId="7" borderId="0" xfId="1" applyNumberFormat="1" applyFont="1" applyFill="1" applyAlignment="1">
      <alignment horizontal="left" vertical="top"/>
    </xf>
    <xf numFmtId="0" fontId="27" fillId="0" borderId="0" xfId="0" applyFont="1" applyAlignment="1">
      <alignment horizontal="left" vertical="top"/>
    </xf>
    <xf numFmtId="165" fontId="27" fillId="8" borderId="0" xfId="1" applyNumberFormat="1" applyFont="1" applyFill="1" applyAlignment="1">
      <alignment horizontal="left" vertical="top"/>
    </xf>
    <xf numFmtId="2" fontId="27" fillId="0" borderId="0" xfId="0" applyNumberFormat="1" applyFont="1" applyAlignment="1">
      <alignment horizontal="right" vertical="top"/>
    </xf>
    <xf numFmtId="0" fontId="30" fillId="0" borderId="5" xfId="0" applyFont="1" applyBorder="1" applyAlignment="1">
      <alignment horizontal="center" vertical="top"/>
    </xf>
    <xf numFmtId="0" fontId="30" fillId="0" borderId="5" xfId="0" applyFont="1" applyBorder="1" applyAlignment="1">
      <alignment horizontal="left" vertical="top"/>
    </xf>
    <xf numFmtId="0" fontId="29" fillId="9" borderId="0" xfId="0" applyFont="1" applyFill="1" applyAlignment="1">
      <alignment vertical="top"/>
    </xf>
    <xf numFmtId="0" fontId="28" fillId="9" borderId="0" xfId="0" applyFont="1" applyFill="1" applyAlignment="1">
      <alignment vertical="top"/>
    </xf>
    <xf numFmtId="0" fontId="32" fillId="0" borderId="0" xfId="0" applyFont="1"/>
    <xf numFmtId="165" fontId="0" fillId="0" borderId="0" xfId="1" applyNumberFormat="1" applyFont="1"/>
    <xf numFmtId="0" fontId="33" fillId="10" borderId="0" xfId="0" applyFont="1" applyFill="1"/>
    <xf numFmtId="0" fontId="34" fillId="12" borderId="0" xfId="0" applyFont="1" applyFill="1"/>
    <xf numFmtId="0" fontId="28" fillId="0" borderId="0" xfId="0" applyFont="1"/>
    <xf numFmtId="0" fontId="30" fillId="0" borderId="0" xfId="0" applyFont="1"/>
    <xf numFmtId="0" fontId="27" fillId="0" borderId="0" xfId="0" applyFont="1"/>
    <xf numFmtId="9" fontId="27" fillId="2" borderId="0" xfId="2" applyFont="1" applyFill="1" applyBorder="1" applyProtection="1">
      <protection locked="0"/>
    </xf>
    <xf numFmtId="0" fontId="27" fillId="0" borderId="0" xfId="0" applyFont="1" applyAlignment="1">
      <alignment horizontal="left" indent="1"/>
    </xf>
    <xf numFmtId="0" fontId="27" fillId="0" borderId="0" xfId="0" applyFont="1" applyAlignment="1">
      <alignment horizontal="left" indent="2"/>
    </xf>
    <xf numFmtId="0" fontId="30" fillId="0" borderId="0" xfId="0" applyFont="1" applyAlignment="1">
      <alignment vertical="top"/>
    </xf>
    <xf numFmtId="0" fontId="30" fillId="13" borderId="0" xfId="0" applyFont="1" applyFill="1" applyAlignment="1">
      <alignment horizontal="left" vertical="top" wrapText="1"/>
    </xf>
    <xf numFmtId="165" fontId="27" fillId="13" borderId="0" xfId="1" applyNumberFormat="1" applyFont="1" applyFill="1" applyAlignment="1">
      <alignment horizontal="left" vertical="top" wrapText="1"/>
    </xf>
    <xf numFmtId="165" fontId="37" fillId="14" borderId="0" xfId="1" applyNumberFormat="1" applyFont="1" applyFill="1" applyAlignment="1">
      <alignment horizontal="left" vertical="top"/>
    </xf>
    <xf numFmtId="0" fontId="30" fillId="13" borderId="0" xfId="0" applyFont="1" applyFill="1" applyAlignment="1">
      <alignment vertical="top" wrapText="1"/>
    </xf>
    <xf numFmtId="165" fontId="37" fillId="0" borderId="0" xfId="1" applyNumberFormat="1" applyFont="1" applyFill="1" applyAlignment="1">
      <alignment horizontal="left" vertical="top"/>
    </xf>
    <xf numFmtId="165" fontId="27" fillId="0" borderId="0" xfId="1" applyNumberFormat="1" applyFont="1" applyFill="1" applyAlignment="1">
      <alignment horizontal="left" vertical="top"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horizontal="left" vertical="top" wrapText="1"/>
    </xf>
    <xf numFmtId="1" fontId="27" fillId="0" borderId="0" xfId="0" applyNumberFormat="1" applyFont="1"/>
    <xf numFmtId="165" fontId="27" fillId="0" borderId="0" xfId="1" applyNumberFormat="1" applyFont="1"/>
    <xf numFmtId="10" fontId="27" fillId="0" borderId="0" xfId="2" applyNumberFormat="1" applyFont="1" applyFill="1"/>
    <xf numFmtId="2" fontId="27" fillId="2" borderId="0" xfId="0" applyNumberFormat="1" applyFont="1" applyFill="1" applyAlignment="1">
      <alignment horizontal="right" vertical="top"/>
    </xf>
    <xf numFmtId="1" fontId="27" fillId="2" borderId="0" xfId="0" applyNumberFormat="1" applyFont="1" applyFill="1"/>
    <xf numFmtId="9" fontId="27" fillId="2" borderId="0" xfId="2" applyFont="1" applyFill="1"/>
    <xf numFmtId="0" fontId="0" fillId="4" borderId="0" xfId="0" applyFill="1"/>
    <xf numFmtId="0" fontId="27" fillId="4" borderId="0" xfId="0" applyFont="1" applyFill="1"/>
    <xf numFmtId="1" fontId="27" fillId="4" borderId="0" xfId="0" applyNumberFormat="1" applyFont="1" applyFill="1"/>
    <xf numFmtId="165" fontId="27" fillId="4" borderId="0" xfId="1" applyNumberFormat="1" applyFont="1" applyFill="1"/>
    <xf numFmtId="10" fontId="27" fillId="2" borderId="0" xfId="2" applyNumberFormat="1" applyFont="1" applyFill="1"/>
    <xf numFmtId="9" fontId="30" fillId="4" borderId="4" xfId="2" applyFont="1" applyFill="1" applyBorder="1" applyAlignment="1">
      <alignment horizontal="center" vertical="top"/>
    </xf>
    <xf numFmtId="9" fontId="30" fillId="5" borderId="4" xfId="2" applyFont="1" applyFill="1" applyBorder="1" applyAlignment="1">
      <alignment horizontal="center" vertical="top"/>
    </xf>
    <xf numFmtId="165" fontId="30" fillId="4" borderId="4" xfId="1" applyNumberFormat="1" applyFont="1" applyFill="1" applyBorder="1" applyAlignment="1">
      <alignment horizontal="center" vertical="top"/>
    </xf>
    <xf numFmtId="165" fontId="30" fillId="5" borderId="4" xfId="1" applyNumberFormat="1" applyFont="1" applyFill="1" applyBorder="1" applyAlignment="1">
      <alignment horizontal="center" vertical="top"/>
    </xf>
    <xf numFmtId="165" fontId="30" fillId="0" borderId="4" xfId="1" applyNumberFormat="1" applyFont="1" applyFill="1" applyBorder="1" applyAlignment="1">
      <alignment horizontal="center" vertical="top"/>
    </xf>
    <xf numFmtId="165" fontId="30" fillId="4" borderId="6" xfId="1" applyNumberFormat="1" applyFont="1" applyFill="1" applyBorder="1" applyAlignment="1">
      <alignment horizontal="center" vertical="top"/>
    </xf>
    <xf numFmtId="165" fontId="30" fillId="5" borderId="6" xfId="1" applyNumberFormat="1" applyFont="1" applyFill="1" applyBorder="1" applyAlignment="1">
      <alignment horizontal="center" vertical="top"/>
    </xf>
    <xf numFmtId="165" fontId="30" fillId="0" borderId="6" xfId="1" applyNumberFormat="1" applyFont="1" applyFill="1" applyBorder="1" applyAlignment="1">
      <alignment horizontal="center" vertical="top"/>
    </xf>
    <xf numFmtId="165" fontId="30" fillId="9" borderId="0" xfId="1" applyNumberFormat="1" applyFont="1" applyFill="1" applyAlignment="1">
      <alignment horizontal="left" vertical="top"/>
    </xf>
    <xf numFmtId="165" fontId="30" fillId="8" borderId="8" xfId="1" applyNumberFormat="1" applyFont="1" applyFill="1" applyBorder="1" applyAlignment="1">
      <alignment horizontal="left" vertical="top"/>
    </xf>
    <xf numFmtId="0" fontId="27" fillId="0" borderId="0" xfId="0" applyFont="1" applyAlignment="1">
      <alignment horizontal="left" vertical="top" indent="1"/>
    </xf>
    <xf numFmtId="0" fontId="27" fillId="0" borderId="0" xfId="0" applyFont="1" applyAlignment="1">
      <alignment horizontal="left" vertical="top" indent="2"/>
    </xf>
    <xf numFmtId="165" fontId="27" fillId="2" borderId="0" xfId="1" applyNumberFormat="1" applyFont="1" applyFill="1" applyAlignment="1">
      <alignment horizontal="right" vertical="top"/>
    </xf>
    <xf numFmtId="0" fontId="27" fillId="0" borderId="0" xfId="0" applyFont="1" applyAlignment="1">
      <alignment horizontal="left" vertical="top" indent="3"/>
    </xf>
    <xf numFmtId="1" fontId="27" fillId="2" borderId="0" xfId="0" applyNumberFormat="1" applyFont="1" applyFill="1" applyAlignment="1">
      <alignment horizontal="right" vertical="top"/>
    </xf>
    <xf numFmtId="165" fontId="30" fillId="0" borderId="0" xfId="1" applyNumberFormat="1" applyFont="1" applyFill="1" applyBorder="1" applyAlignment="1">
      <alignment horizontal="left" vertical="top"/>
    </xf>
    <xf numFmtId="165" fontId="39" fillId="8" borderId="8" xfId="1" applyNumberFormat="1" applyFont="1" applyFill="1" applyBorder="1" applyAlignment="1">
      <alignment horizontal="left" vertical="top"/>
    </xf>
    <xf numFmtId="165" fontId="27" fillId="0" borderId="0" xfId="1" applyNumberFormat="1" applyFont="1" applyFill="1"/>
    <xf numFmtId="165" fontId="27" fillId="2" borderId="0" xfId="1" applyNumberFormat="1" applyFont="1" applyFill="1"/>
    <xf numFmtId="165" fontId="39" fillId="0" borderId="0" xfId="1" applyNumberFormat="1" applyFont="1" applyFill="1" applyBorder="1" applyAlignment="1">
      <alignment horizontal="left" vertical="top"/>
    </xf>
    <xf numFmtId="165" fontId="39" fillId="8" borderId="0" xfId="1" applyNumberFormat="1" applyFont="1" applyFill="1" applyAlignment="1">
      <alignment horizontal="left" vertical="top"/>
    </xf>
    <xf numFmtId="0" fontId="38" fillId="0" borderId="0" xfId="0" applyFont="1"/>
    <xf numFmtId="165" fontId="27" fillId="8" borderId="0" xfId="1" applyNumberFormat="1" applyFont="1" applyFill="1" applyBorder="1" applyAlignment="1">
      <alignment horizontal="left" vertical="top"/>
    </xf>
    <xf numFmtId="0" fontId="27" fillId="0" borderId="0" xfId="0" applyFont="1" applyAlignment="1">
      <alignment horizontal="left"/>
    </xf>
    <xf numFmtId="0" fontId="40" fillId="0" borderId="0" xfId="0" applyFont="1"/>
    <xf numFmtId="9" fontId="0" fillId="0" borderId="0" xfId="2" applyFont="1"/>
    <xf numFmtId="166" fontId="41" fillId="0" borderId="0" xfId="2" applyNumberFormat="1" applyFont="1" applyFill="1" applyBorder="1" applyAlignment="1" applyProtection="1">
      <alignment vertical="top"/>
      <protection locked="0"/>
    </xf>
    <xf numFmtId="0" fontId="42" fillId="0" borderId="0" xfId="0" applyFont="1" applyAlignment="1">
      <alignment horizontal="center" wrapText="1"/>
    </xf>
    <xf numFmtId="0" fontId="39" fillId="0" borderId="0" xfId="0" applyFont="1" applyAlignment="1">
      <alignment horizontal="left" vertical="top" indent="2"/>
    </xf>
    <xf numFmtId="165" fontId="30" fillId="11" borderId="4" xfId="1" applyNumberFormat="1" applyFont="1" applyFill="1" applyBorder="1" applyAlignment="1">
      <alignment horizontal="center" vertical="top"/>
    </xf>
    <xf numFmtId="9" fontId="30" fillId="11" borderId="4" xfId="2" applyFont="1" applyFill="1" applyBorder="1" applyAlignment="1">
      <alignment horizontal="center" vertical="top"/>
    </xf>
    <xf numFmtId="165" fontId="30" fillId="11" borderId="6" xfId="1" applyNumberFormat="1" applyFont="1" applyFill="1" applyBorder="1" applyAlignment="1">
      <alignment horizontal="center" vertical="top"/>
    </xf>
    <xf numFmtId="0" fontId="27" fillId="0" borderId="0" xfId="0" applyFont="1" applyAlignment="1">
      <alignment horizontal="left" indent="3"/>
    </xf>
    <xf numFmtId="165" fontId="39" fillId="0" borderId="0" xfId="1" applyNumberFormat="1" applyFont="1" applyFill="1" applyAlignment="1">
      <alignment horizontal="left" vertical="top"/>
    </xf>
    <xf numFmtId="0" fontId="28" fillId="0" borderId="8" xfId="0" applyFont="1" applyBorder="1" applyAlignment="1">
      <alignment vertical="top"/>
    </xf>
    <xf numFmtId="0" fontId="39" fillId="0" borderId="8" xfId="0" applyFont="1" applyBorder="1" applyAlignment="1">
      <alignment horizontal="left" vertical="top" indent="2"/>
    </xf>
    <xf numFmtId="0" fontId="43" fillId="0" borderId="8" xfId="0" applyFont="1" applyBorder="1" applyAlignment="1">
      <alignment vertical="top"/>
    </xf>
    <xf numFmtId="165" fontId="27" fillId="0" borderId="8" xfId="1" applyNumberFormat="1" applyFont="1" applyFill="1" applyBorder="1" applyAlignment="1">
      <alignment horizontal="left" vertical="top"/>
    </xf>
    <xf numFmtId="165" fontId="30" fillId="0" borderId="0" xfId="1" applyNumberFormat="1" applyFont="1" applyFill="1" applyBorder="1" applyAlignment="1">
      <alignment horizontal="center" vertical="top"/>
    </xf>
    <xf numFmtId="0" fontId="30" fillId="0" borderId="0" xfId="0" applyFont="1" applyAlignment="1">
      <alignment horizontal="left" vertical="top"/>
    </xf>
    <xf numFmtId="0" fontId="43" fillId="0" borderId="8" xfId="0" applyFont="1" applyBorder="1" applyAlignment="1">
      <alignment horizontal="right" vertical="top"/>
    </xf>
    <xf numFmtId="165" fontId="30" fillId="8" borderId="0" xfId="1" applyNumberFormat="1" applyFont="1" applyFill="1" applyBorder="1" applyAlignment="1">
      <alignment horizontal="left" vertical="top"/>
    </xf>
    <xf numFmtId="0" fontId="15" fillId="0" borderId="0" xfId="0" applyFont="1" applyAlignment="1">
      <alignment horizontal="center"/>
    </xf>
    <xf numFmtId="165" fontId="30" fillId="5" borderId="7" xfId="1" applyNumberFormat="1" applyFont="1" applyFill="1" applyBorder="1" applyAlignment="1">
      <alignment horizontal="center" vertical="top"/>
    </xf>
    <xf numFmtId="9" fontId="30" fillId="5" borderId="7" xfId="2" applyFont="1" applyFill="1" applyBorder="1" applyAlignment="1">
      <alignment horizontal="center" vertical="top"/>
    </xf>
    <xf numFmtId="165" fontId="30" fillId="5" borderId="9" xfId="1" applyNumberFormat="1" applyFont="1" applyFill="1" applyBorder="1" applyAlignment="1">
      <alignment horizontal="center" vertical="top"/>
    </xf>
    <xf numFmtId="165" fontId="37" fillId="0" borderId="0" xfId="1" applyNumberFormat="1" applyFont="1" applyFill="1" applyBorder="1" applyAlignment="1">
      <alignment horizontal="left" vertical="top"/>
    </xf>
    <xf numFmtId="165" fontId="30" fillId="0" borderId="5" xfId="1" applyNumberFormat="1" applyFont="1" applyFill="1" applyBorder="1" applyAlignment="1">
      <alignment horizontal="center" vertical="top"/>
    </xf>
    <xf numFmtId="165" fontId="30" fillId="4" borderId="0" xfId="1" applyNumberFormat="1" applyFont="1" applyFill="1" applyBorder="1" applyAlignment="1">
      <alignment horizontal="center" vertical="top"/>
    </xf>
    <xf numFmtId="9" fontId="30" fillId="4" borderId="0" xfId="2" applyFont="1" applyFill="1" applyBorder="1" applyAlignment="1">
      <alignment horizontal="center" vertical="top"/>
    </xf>
    <xf numFmtId="165" fontId="30" fillId="4" borderId="5" xfId="1" applyNumberFormat="1" applyFont="1" applyFill="1" applyBorder="1" applyAlignment="1">
      <alignment horizontal="center" vertical="top"/>
    </xf>
    <xf numFmtId="165" fontId="30" fillId="11" borderId="0" xfId="1" applyNumberFormat="1" applyFont="1" applyFill="1" applyBorder="1" applyAlignment="1">
      <alignment horizontal="center" vertical="top"/>
    </xf>
    <xf numFmtId="9" fontId="30" fillId="11" borderId="0" xfId="2" applyFont="1" applyFill="1" applyBorder="1" applyAlignment="1">
      <alignment horizontal="center" vertical="top"/>
    </xf>
    <xf numFmtId="165" fontId="30" fillId="11" borderId="5" xfId="1" applyNumberFormat="1" applyFont="1" applyFill="1" applyBorder="1" applyAlignment="1">
      <alignment horizontal="center" vertical="top"/>
    </xf>
    <xf numFmtId="0" fontId="36" fillId="0" borderId="0" xfId="6" applyFont="1"/>
    <xf numFmtId="0" fontId="35" fillId="0" borderId="0" xfId="0" applyFont="1" applyAlignment="1">
      <alignment vertical="center"/>
    </xf>
    <xf numFmtId="166" fontId="27" fillId="2" borderId="0" xfId="2" applyNumberFormat="1" applyFont="1" applyFill="1" applyBorder="1" applyProtection="1">
      <protection locked="0"/>
    </xf>
    <xf numFmtId="166" fontId="27" fillId="2" borderId="10" xfId="2" applyNumberFormat="1" applyFont="1" applyFill="1" applyBorder="1" applyProtection="1">
      <protection locked="0"/>
    </xf>
    <xf numFmtId="166" fontId="27" fillId="2" borderId="11" xfId="2" applyNumberFormat="1" applyFont="1" applyFill="1" applyBorder="1" applyProtection="1">
      <protection locked="0"/>
    </xf>
    <xf numFmtId="0" fontId="15" fillId="0" borderId="1" xfId="0" applyFont="1" applyBorder="1" applyAlignment="1">
      <alignment horizontal="center"/>
    </xf>
    <xf numFmtId="0" fontId="29" fillId="12" borderId="0" xfId="0" applyFont="1" applyFill="1" applyAlignment="1">
      <alignment horizontal="center"/>
    </xf>
    <xf numFmtId="165" fontId="27" fillId="2" borderId="0" xfId="1" applyNumberFormat="1" applyFont="1" applyFill="1" applyBorder="1" applyProtection="1">
      <protection locked="0"/>
    </xf>
    <xf numFmtId="1" fontId="27" fillId="2" borderId="0" xfId="2" applyNumberFormat="1" applyFont="1" applyFill="1" applyBorder="1" applyProtection="1">
      <protection locked="0"/>
    </xf>
    <xf numFmtId="1" fontId="27" fillId="2" borderId="0" xfId="0" applyNumberFormat="1" applyFont="1" applyFill="1" applyProtection="1">
      <protection locked="0"/>
    </xf>
    <xf numFmtId="2" fontId="27" fillId="2" borderId="0" xfId="0" applyNumberFormat="1" applyFont="1" applyFill="1" applyProtection="1">
      <protection locked="0"/>
    </xf>
    <xf numFmtId="43" fontId="27" fillId="2" borderId="0" xfId="1" applyFont="1" applyFill="1" applyBorder="1" applyProtection="1">
      <protection locked="0"/>
    </xf>
    <xf numFmtId="0" fontId="0" fillId="0" borderId="2" xfId="0" applyBorder="1"/>
    <xf numFmtId="165" fontId="30" fillId="4" borderId="19" xfId="1" applyNumberFormat="1" applyFont="1" applyFill="1" applyBorder="1" applyAlignment="1">
      <alignment horizontal="center" vertical="top"/>
    </xf>
    <xf numFmtId="9" fontId="30" fillId="4" borderId="19" xfId="2" applyFont="1" applyFill="1" applyBorder="1" applyAlignment="1">
      <alignment horizontal="center" vertical="top"/>
    </xf>
    <xf numFmtId="165" fontId="30" fillId="4" borderId="20" xfId="1" applyNumberFormat="1" applyFont="1" applyFill="1" applyBorder="1" applyAlignment="1">
      <alignment horizontal="center" vertical="top"/>
    </xf>
    <xf numFmtId="165" fontId="30" fillId="11" borderId="7" xfId="1" applyNumberFormat="1" applyFont="1" applyFill="1" applyBorder="1" applyAlignment="1">
      <alignment horizontal="center" vertical="top"/>
    </xf>
    <xf numFmtId="9" fontId="30" fillId="11" borderId="7" xfId="2" applyFont="1" applyFill="1" applyBorder="1" applyAlignment="1">
      <alignment horizontal="center" vertical="top"/>
    </xf>
    <xf numFmtId="165" fontId="30" fillId="11" borderId="9" xfId="1" applyNumberFormat="1" applyFont="1" applyFill="1" applyBorder="1" applyAlignment="1">
      <alignment horizontal="center" vertical="top"/>
    </xf>
    <xf numFmtId="165" fontId="37" fillId="14" borderId="0" xfId="1" applyNumberFormat="1" applyFont="1" applyFill="1" applyBorder="1" applyAlignment="1">
      <alignment horizontal="left" vertical="top"/>
    </xf>
    <xf numFmtId="0" fontId="5" fillId="3" borderId="0" xfId="0" applyFont="1" applyFill="1"/>
    <xf numFmtId="0" fontId="0" fillId="3" borderId="0" xfId="0" applyFill="1"/>
    <xf numFmtId="0" fontId="12" fillId="3" borderId="3" xfId="0" applyFont="1" applyFill="1" applyBorder="1" applyAlignment="1">
      <alignment horizontal="center" wrapText="1"/>
    </xf>
    <xf numFmtId="0" fontId="13" fillId="3" borderId="0" xfId="0" applyFont="1" applyFill="1" applyAlignment="1">
      <alignment horizontal="left" vertical="top" wrapText="1"/>
    </xf>
    <xf numFmtId="0" fontId="30" fillId="11" borderId="0" xfId="0" applyFont="1" applyFill="1" applyAlignment="1">
      <alignment horizontal="center"/>
    </xf>
    <xf numFmtId="165" fontId="37" fillId="14" borderId="0" xfId="1" applyNumberFormat="1" applyFont="1" applyFill="1" applyAlignment="1">
      <alignment horizontal="center" vertical="top"/>
    </xf>
    <xf numFmtId="166" fontId="27" fillId="2" borderId="13" xfId="2" applyNumberFormat="1" applyFont="1" applyFill="1" applyBorder="1" applyAlignment="1" applyProtection="1">
      <alignment horizontal="left" vertical="center" wrapText="1"/>
      <protection locked="0"/>
    </xf>
    <xf numFmtId="166" fontId="27" fillId="2" borderId="1" xfId="2" applyNumberFormat="1" applyFont="1" applyFill="1" applyBorder="1" applyAlignment="1" applyProtection="1">
      <alignment horizontal="left" vertical="center" wrapText="1"/>
      <protection locked="0"/>
    </xf>
    <xf numFmtId="166" fontId="27" fillId="2" borderId="14" xfId="2" applyNumberFormat="1" applyFont="1" applyFill="1" applyBorder="1" applyAlignment="1" applyProtection="1">
      <alignment horizontal="left" vertical="center" wrapText="1"/>
      <protection locked="0"/>
    </xf>
    <xf numFmtId="166" fontId="27" fillId="2" borderId="16" xfId="2" applyNumberFormat="1" applyFont="1" applyFill="1" applyBorder="1" applyAlignment="1" applyProtection="1">
      <alignment horizontal="left" vertical="center" wrapText="1"/>
      <protection locked="0"/>
    </xf>
    <xf numFmtId="166" fontId="27" fillId="2" borderId="17" xfId="2" applyNumberFormat="1" applyFont="1" applyFill="1" applyBorder="1" applyAlignment="1" applyProtection="1">
      <alignment horizontal="left" vertical="center" wrapText="1"/>
      <protection locked="0"/>
    </xf>
    <xf numFmtId="166" fontId="27" fillId="2" borderId="18" xfId="2" applyNumberFormat="1" applyFont="1" applyFill="1" applyBorder="1" applyAlignment="1" applyProtection="1">
      <alignment horizontal="left" vertical="center" wrapText="1"/>
      <protection locked="0"/>
    </xf>
    <xf numFmtId="165" fontId="37" fillId="14" borderId="0" xfId="1" applyNumberFormat="1" applyFont="1" applyFill="1" applyBorder="1" applyAlignment="1">
      <alignment horizontal="center" vertical="top"/>
    </xf>
    <xf numFmtId="165" fontId="37" fillId="14" borderId="2" xfId="1" applyNumberFormat="1" applyFont="1" applyFill="1" applyBorder="1" applyAlignment="1">
      <alignment horizontal="center" vertical="top"/>
    </xf>
    <xf numFmtId="0" fontId="27" fillId="8" borderId="13" xfId="1" applyNumberFormat="1" applyFont="1" applyFill="1" applyBorder="1" applyAlignment="1">
      <alignment horizontal="left" vertical="top" wrapText="1"/>
    </xf>
    <xf numFmtId="0" fontId="27" fillId="8" borderId="1" xfId="1" applyNumberFormat="1" applyFont="1" applyFill="1" applyBorder="1" applyAlignment="1">
      <alignment horizontal="left" vertical="top" wrapText="1"/>
    </xf>
    <xf numFmtId="0" fontId="27" fillId="8" borderId="14" xfId="1" applyNumberFormat="1" applyFont="1" applyFill="1" applyBorder="1" applyAlignment="1">
      <alignment horizontal="left" vertical="top" wrapText="1"/>
    </xf>
    <xf numFmtId="0" fontId="27" fillId="8" borderId="15" xfId="1" applyNumberFormat="1" applyFont="1" applyFill="1" applyBorder="1" applyAlignment="1">
      <alignment horizontal="left" vertical="top" wrapText="1"/>
    </xf>
    <xf numFmtId="0" fontId="27" fillId="8" borderId="0" xfId="1" applyNumberFormat="1" applyFont="1" applyFill="1" applyBorder="1" applyAlignment="1">
      <alignment horizontal="left" vertical="top" wrapText="1"/>
    </xf>
    <xf numFmtId="0" fontId="27" fillId="8" borderId="2" xfId="1" applyNumberFormat="1" applyFont="1" applyFill="1" applyBorder="1" applyAlignment="1">
      <alignment horizontal="left" vertical="top" wrapText="1"/>
    </xf>
    <xf numFmtId="0" fontId="27" fillId="8" borderId="16" xfId="1" applyNumberFormat="1" applyFont="1" applyFill="1" applyBorder="1" applyAlignment="1">
      <alignment horizontal="left" vertical="top" wrapText="1"/>
    </xf>
    <xf numFmtId="0" fontId="27" fillId="8" borderId="17" xfId="1" applyNumberFormat="1" applyFont="1" applyFill="1" applyBorder="1" applyAlignment="1">
      <alignment horizontal="left" vertical="top" wrapText="1"/>
    </xf>
    <xf numFmtId="0" fontId="27" fillId="8" borderId="18" xfId="1" applyNumberFormat="1" applyFont="1" applyFill="1" applyBorder="1" applyAlignment="1">
      <alignment horizontal="left" vertical="top" wrapText="1"/>
    </xf>
    <xf numFmtId="165" fontId="27" fillId="8" borderId="10" xfId="1" applyNumberFormat="1" applyFont="1" applyFill="1" applyBorder="1" applyAlignment="1">
      <alignment horizontal="center" vertical="top"/>
    </xf>
    <xf numFmtId="165" fontId="27" fillId="8" borderId="12" xfId="1" applyNumberFormat="1" applyFont="1" applyFill="1" applyBorder="1" applyAlignment="1">
      <alignment horizontal="center" vertical="top"/>
    </xf>
    <xf numFmtId="165" fontId="27" fillId="8" borderId="11" xfId="1" applyNumberFormat="1" applyFont="1" applyFill="1" applyBorder="1" applyAlignment="1">
      <alignment horizontal="center" vertical="top"/>
    </xf>
    <xf numFmtId="0" fontId="30" fillId="13" borderId="0" xfId="0" applyFont="1" applyFill="1" applyAlignment="1">
      <alignment horizontal="left" vertical="top" wrapText="1"/>
    </xf>
  </cellXfs>
  <cellStyles count="7">
    <cellStyle name="Comma" xfId="1" builtinId="3"/>
    <cellStyle name="Comma 3" xfId="4" xr:uid="{269A1F09-1D08-4F2E-8E01-27F826E65829}"/>
    <cellStyle name="Hyperlink" xfId="5" builtinId="8"/>
    <cellStyle name="Normal" xfId="0" builtinId="0"/>
    <cellStyle name="Normal 2 2" xfId="3" xr:uid="{B648A372-4433-4C4B-95C6-1D57D2DE0CE2}"/>
    <cellStyle name="Normal 56" xfId="6" xr:uid="{78471CF6-4A5C-4DA4-922A-10611991A32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203490</xdr:colOff>
      <xdr:row>13</xdr:row>
      <xdr:rowOff>96693</xdr:rowOff>
    </xdr:from>
    <xdr:to>
      <xdr:col>12</xdr:col>
      <xdr:colOff>65203</xdr:colOff>
      <xdr:row>16</xdr:row>
      <xdr:rowOff>71897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537067-5D3F-420F-A3D9-923CFAA8720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04178" y="2835131"/>
          <a:ext cx="1520650" cy="467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D%20-%20PROVINCIAL%20BUDGET%20ANALYSIS/Provinces/Provincial%20Budget%20Statements/2013-14/1.%20Database/6.%20Final/EC%20-%20EPRE%20-%202013-14%20-%20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rad/Documents/Cornerstone/Projects%20Past/Children's%20Bill/16%20December%20Models/CD%20Provinces/Western%20Cape/Social%20Development/WC%20-%20Prov%20Soc%20Dev%20Module%2004%20Nov%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03/CD%20-%20PROVINCIAL%20BUDGET%20ANALYSIS/Provinces/Provincial%20Budget%20Statements/2008-09/1.%20Database/7.%20Final/WC%20-%202008-09%20BS%20-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conra/Dropbox%20(Cornerstone)/External%20Shared%20Folder/UNICEF%20Kenya%20CP/Component%202%20Costing%20of%20VAC%20Plan/01.%20VAC%20Costing%20Tool/2020.01.17%20Kenya%20VAC%20costing%20tool%20v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mplicioB/AppData/Local/Microsoft/Windows/Temporary%20Internet%20Files/Content.Outlook/P0FPJBF8/Work%20Plan%20Distribuisaun%20Pakote%20Literacya%20%20Desport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rad/Dropbox/CER%20Projects/2014%20Projects/Lesotho%20CWA%20costing/09.%20Submissions/Final%20submissions/02.%20CPWA%20Costing%20Model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Settings"/>
      <sheetName val="Surplus-Deficit Position"/>
      <sheetName val="Own Source Receipts"/>
      <sheetName val="C-Grants"/>
      <sheetName val="Infrastructure"/>
      <sheetName val="Personnel and Training"/>
      <sheetName val="Transfers to Municipalities"/>
      <sheetName val="PPP"/>
      <sheetName val="Public Entities Position"/>
      <sheetName val="Expenditure Su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>
        <row r="5">
          <cell r="AQ5">
            <v>1</v>
          </cell>
          <cell r="AR5">
            <v>-1</v>
          </cell>
        </row>
        <row r="21">
          <cell r="AC21" t="str">
            <v>2015/16</v>
          </cell>
          <cell r="AM21" t="str">
            <v>EDUCATION</v>
          </cell>
        </row>
        <row r="22">
          <cell r="AC22" t="str">
            <v>2014/15</v>
          </cell>
        </row>
        <row r="23">
          <cell r="AC23" t="str">
            <v>2013/14</v>
          </cell>
        </row>
        <row r="24">
          <cell r="AC24" t="str">
            <v>2012/13</v>
          </cell>
        </row>
        <row r="25">
          <cell r="AC25" t="str">
            <v>2011/12</v>
          </cell>
        </row>
        <row r="26">
          <cell r="AC26" t="str">
            <v>2010/11</v>
          </cell>
        </row>
        <row r="27">
          <cell r="AC27" t="str">
            <v>2009/10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"/>
      <sheetName val="Menu"/>
      <sheetName val="Input"/>
      <sheetName val="Salaries"/>
      <sheetName val="Notches"/>
      <sheetName val="PC"/>
      <sheetName val="ECD"/>
      <sheetName val="CPO"/>
      <sheetName val="CPR"/>
      <sheetName val="PIP"/>
      <sheetName val="FCKC"/>
      <sheetName val="MCYCC"/>
      <sheetName val="PSSSOS"/>
      <sheetName val="CYCCOS"/>
      <sheetName val="CYCC"/>
      <sheetName val="MSDC"/>
      <sheetName val="SDC"/>
      <sheetName val="Adopt"/>
      <sheetName val="IntAdopt"/>
      <sheetName val="Train"/>
      <sheetName val="SAct"/>
      <sheetName val="SPers"/>
      <sheetName val="Sum"/>
      <sheetName val="Copyright"/>
      <sheetName val="WC - Prov Soc Dev Module 04 Nov"/>
    </sheetNames>
    <sheetDataSet>
      <sheetData sheetId="0" refreshError="1"/>
      <sheetData sheetId="1">
        <row r="8">
          <cell r="C8">
            <v>41190</v>
          </cell>
        </row>
      </sheetData>
      <sheetData sheetId="2">
        <row r="33">
          <cell r="C33">
            <v>60</v>
          </cell>
        </row>
        <row r="34">
          <cell r="C34">
            <v>60</v>
          </cell>
        </row>
        <row r="35">
          <cell r="C35">
            <v>2.2999999999999998</v>
          </cell>
        </row>
        <row r="38">
          <cell r="A38" t="str">
            <v>TRCCP</v>
          </cell>
          <cell r="B38" t="str">
            <v>Practitioner Training</v>
          </cell>
          <cell r="C38">
            <v>1200</v>
          </cell>
        </row>
        <row r="39">
          <cell r="A39" t="str">
            <v>TRFMG</v>
          </cell>
          <cell r="B39" t="str">
            <v>Financial Management Training</v>
          </cell>
          <cell r="C39">
            <v>1200</v>
          </cell>
        </row>
        <row r="40">
          <cell r="A40" t="str">
            <v>TRMGT</v>
          </cell>
          <cell r="B40" t="str">
            <v>Management Training</v>
          </cell>
          <cell r="C40">
            <v>1200</v>
          </cell>
        </row>
        <row r="41">
          <cell r="A41" t="str">
            <v>TRAdS</v>
          </cell>
          <cell r="B41" t="str">
            <v>Administrative Staff Training</v>
          </cell>
          <cell r="C41">
            <v>1200</v>
          </cell>
        </row>
        <row r="45">
          <cell r="C45">
            <v>720</v>
          </cell>
        </row>
        <row r="47">
          <cell r="C47">
            <v>720</v>
          </cell>
        </row>
        <row r="49">
          <cell r="C49">
            <v>720</v>
          </cell>
        </row>
        <row r="51">
          <cell r="C51">
            <v>0</v>
          </cell>
        </row>
        <row r="53">
          <cell r="C53">
            <v>300</v>
          </cell>
        </row>
      </sheetData>
      <sheetData sheetId="3" refreshError="1"/>
      <sheetData sheetId="4">
        <row r="13">
          <cell r="Q13">
            <v>89460</v>
          </cell>
        </row>
        <row r="16">
          <cell r="Q16">
            <v>89460</v>
          </cell>
          <cell r="R16">
            <v>213</v>
          </cell>
        </row>
        <row r="17">
          <cell r="Q17">
            <v>89460</v>
          </cell>
          <cell r="R17">
            <v>213</v>
          </cell>
        </row>
        <row r="18">
          <cell r="Q18">
            <v>89460</v>
          </cell>
          <cell r="R18">
            <v>213</v>
          </cell>
        </row>
        <row r="19">
          <cell r="Q19">
            <v>89460</v>
          </cell>
        </row>
        <row r="20">
          <cell r="Q20">
            <v>89460</v>
          </cell>
          <cell r="R20">
            <v>213</v>
          </cell>
        </row>
        <row r="22">
          <cell r="Q22">
            <v>89460</v>
          </cell>
          <cell r="R22">
            <v>213</v>
          </cell>
        </row>
        <row r="23">
          <cell r="Q23">
            <v>89460</v>
          </cell>
          <cell r="R23">
            <v>213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mments"/>
      <sheetName val="Settings"/>
      <sheetName val="Summary"/>
      <sheetName val="Own source receipts"/>
      <sheetName val="Grants"/>
      <sheetName val="Analysis"/>
      <sheetName val="PaymentSu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Transfers to local government"/>
      <sheetName val="Transfers Detail"/>
      <sheetName val="PPP"/>
      <sheetName val="Public Entities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"/>
      <sheetName val="Contents"/>
      <sheetName val="Total Costs"/>
      <sheetName val="Total HR"/>
      <sheetName val="MDA 1"/>
      <sheetName val="MDA 2"/>
      <sheetName val="MDA 3"/>
      <sheetName val="MDA 4"/>
      <sheetName val="MDA 5"/>
      <sheetName val="MDA 6"/>
      <sheetName val="MDA 7"/>
      <sheetName val="MDA 8"/>
      <sheetName val="MDA 9"/>
      <sheetName val="MDA 10"/>
      <sheetName val="MDA 11"/>
      <sheetName val="MDA 12"/>
      <sheetName val="MDA (new offices)"/>
      <sheetName val="CP Police Units"/>
      <sheetName val="Facilities"/>
      <sheetName val="GenAssumptions"/>
      <sheetName val="SalaryScales"/>
      <sheetName val="SalaryNam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 t="str">
            <v>SS.1</v>
          </cell>
        </row>
        <row r="2">
          <cell r="B2" t="str">
            <v>SS.2</v>
          </cell>
        </row>
        <row r="3">
          <cell r="B3" t="str">
            <v>SS.3</v>
          </cell>
        </row>
        <row r="4">
          <cell r="B4" t="str">
            <v>SS.4</v>
          </cell>
        </row>
        <row r="5">
          <cell r="B5" t="str">
            <v>SS.5</v>
          </cell>
        </row>
      </sheetData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 Plan"/>
      <sheetName val="Codes"/>
    </sheetNames>
    <sheetDataSet>
      <sheetData sheetId="0" refreshError="1"/>
      <sheetData sheetId="1">
        <row r="2">
          <cell r="A2" t="str">
            <v>Seidauk</v>
          </cell>
        </row>
        <row r="3">
          <cell r="A3" t="str">
            <v>Iha proosesu</v>
          </cell>
        </row>
        <row r="4">
          <cell r="A4" t="str">
            <v>Kompleta ona</v>
          </cell>
        </row>
        <row r="5">
          <cell r="A5" t="str">
            <v>Liu ona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"/>
      <sheetName val="Contents"/>
      <sheetName val="Service Descriptions"/>
      <sheetName val="GenAssumptions"/>
      <sheetName val="Children"/>
      <sheetName val="Sum Dep"/>
      <sheetName val="Sum Cost"/>
      <sheetName val="Sum Pers"/>
      <sheetName val="Sum Pers Cost"/>
      <sheetName val="Sum Train"/>
      <sheetName val="Sum Inst Cost"/>
      <sheetName val="Sum Regs"/>
      <sheetName val="1. Register"/>
      <sheetName val="2. Early Int"/>
      <sheetName val="3. C Need"/>
      <sheetName val="4. P of Safety"/>
      <sheetName val="5. F&amp;Ad"/>
      <sheetName val="6. Master"/>
      <sheetName val="7. CCourt SW"/>
      <sheetName val="8. Inst O"/>
      <sheetName val="9. Police"/>
      <sheetName val="10. Prelim"/>
      <sheetName val="11. Diversion"/>
      <sheetName val="12. CCourt CL"/>
      <sheetName val="13. Capital"/>
      <sheetName val="14. BubSum J"/>
      <sheetName val="15. BudSum SD"/>
      <sheetName val="16. BudSum Pol"/>
      <sheetName val="17. BudSum MoHC"/>
      <sheetName val="18. BudSum Jud"/>
      <sheetName val="19. BudSum CS"/>
      <sheetName val="Impl Budget"/>
      <sheetName val="Lists"/>
      <sheetName val="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J2" t="str">
            <v>A-Top</v>
          </cell>
          <cell r="Y2" t="str">
            <v>A-Top</v>
          </cell>
          <cell r="Z2">
            <v>16284</v>
          </cell>
        </row>
        <row r="3">
          <cell r="J3" t="str">
            <v>A-Middle</v>
          </cell>
          <cell r="Y3" t="str">
            <v>A-Middle</v>
          </cell>
          <cell r="Z3">
            <v>15396</v>
          </cell>
        </row>
        <row r="4">
          <cell r="J4" t="str">
            <v>A-Bottom</v>
          </cell>
          <cell r="Y4" t="str">
            <v>A-Bottom</v>
          </cell>
          <cell r="Z4">
            <v>14076</v>
          </cell>
        </row>
        <row r="5">
          <cell r="J5" t="str">
            <v>B-Top</v>
          </cell>
          <cell r="Y5" t="str">
            <v>B-Top</v>
          </cell>
          <cell r="Z5">
            <v>23472</v>
          </cell>
        </row>
        <row r="6">
          <cell r="J6" t="str">
            <v>B-Middle</v>
          </cell>
          <cell r="Y6" t="str">
            <v>B-Middle</v>
          </cell>
          <cell r="Z6">
            <v>20208</v>
          </cell>
        </row>
        <row r="7">
          <cell r="J7" t="str">
            <v>B-Bottom</v>
          </cell>
          <cell r="Y7" t="str">
            <v>B-Bottom</v>
          </cell>
          <cell r="Z7">
            <v>16872</v>
          </cell>
        </row>
        <row r="8">
          <cell r="J8" t="str">
            <v>C-Top</v>
          </cell>
          <cell r="Y8" t="str">
            <v>C-Top</v>
          </cell>
          <cell r="Z8">
            <v>35376</v>
          </cell>
        </row>
        <row r="9">
          <cell r="J9" t="str">
            <v>C-Middle</v>
          </cell>
          <cell r="Y9" t="str">
            <v>C-Middle</v>
          </cell>
          <cell r="Z9">
            <v>29784</v>
          </cell>
        </row>
        <row r="10">
          <cell r="J10" t="str">
            <v>C-Bottom</v>
          </cell>
          <cell r="Y10" t="str">
            <v>C-Bottom</v>
          </cell>
          <cell r="Z10">
            <v>24144</v>
          </cell>
        </row>
        <row r="11">
          <cell r="J11" t="str">
            <v>D-Top</v>
          </cell>
          <cell r="Y11" t="str">
            <v>D-Top</v>
          </cell>
          <cell r="Z11">
            <v>53148</v>
          </cell>
        </row>
        <row r="12">
          <cell r="J12" t="str">
            <v>D-Middle</v>
          </cell>
          <cell r="Y12" t="str">
            <v>D-Middle</v>
          </cell>
          <cell r="Z12">
            <v>44748</v>
          </cell>
        </row>
        <row r="13">
          <cell r="J13" t="str">
            <v>D-Bottom</v>
          </cell>
          <cell r="Y13" t="str">
            <v>D-Bottom</v>
          </cell>
          <cell r="Z13">
            <v>36432</v>
          </cell>
        </row>
        <row r="14">
          <cell r="J14" t="str">
            <v>E-Top</v>
          </cell>
          <cell r="Y14" t="str">
            <v>E-Top</v>
          </cell>
          <cell r="Z14">
            <v>76260</v>
          </cell>
        </row>
        <row r="15">
          <cell r="J15" t="str">
            <v>E-Middle</v>
          </cell>
          <cell r="Y15" t="str">
            <v>E-Middle</v>
          </cell>
          <cell r="Z15">
            <v>65760</v>
          </cell>
        </row>
        <row r="16">
          <cell r="J16" t="str">
            <v>E-Bottom</v>
          </cell>
          <cell r="Y16" t="str">
            <v>E-Bottom</v>
          </cell>
          <cell r="Z16">
            <v>54996</v>
          </cell>
        </row>
        <row r="17">
          <cell r="J17" t="str">
            <v>F-Top</v>
          </cell>
          <cell r="Y17" t="str">
            <v>F-Top</v>
          </cell>
          <cell r="Z17">
            <v>108024</v>
          </cell>
        </row>
        <row r="18">
          <cell r="J18" t="str">
            <v>F-Middle</v>
          </cell>
          <cell r="Y18" t="str">
            <v>F-Middle</v>
          </cell>
          <cell r="Z18">
            <v>93108</v>
          </cell>
        </row>
        <row r="19">
          <cell r="J19" t="str">
            <v>F-Bottom</v>
          </cell>
          <cell r="Y19" t="str">
            <v>F-Bottom</v>
          </cell>
          <cell r="Z19">
            <v>77964</v>
          </cell>
        </row>
        <row r="20">
          <cell r="J20" t="str">
            <v>G-Top</v>
          </cell>
          <cell r="Y20" t="str">
            <v>G-Top</v>
          </cell>
          <cell r="Z20">
            <v>131724</v>
          </cell>
        </row>
        <row r="21">
          <cell r="J21" t="str">
            <v>G-Middle</v>
          </cell>
          <cell r="Y21" t="str">
            <v>G-Middle</v>
          </cell>
          <cell r="Z21">
            <v>122244</v>
          </cell>
        </row>
        <row r="22">
          <cell r="J22" t="str">
            <v>G-Bottom</v>
          </cell>
          <cell r="Y22" t="str">
            <v>G-Bottom</v>
          </cell>
          <cell r="Z22">
            <v>110724</v>
          </cell>
        </row>
        <row r="23">
          <cell r="J23" t="str">
            <v>H-Top</v>
          </cell>
          <cell r="Y23" t="str">
            <v>H-Top</v>
          </cell>
          <cell r="Z23">
            <v>160560</v>
          </cell>
        </row>
        <row r="24">
          <cell r="J24" t="str">
            <v>H-Middle</v>
          </cell>
          <cell r="Y24" t="str">
            <v>H-Middle</v>
          </cell>
          <cell r="Z24">
            <v>145428</v>
          </cell>
        </row>
        <row r="25">
          <cell r="J25" t="str">
            <v>H-Bottom</v>
          </cell>
          <cell r="Y25" t="str">
            <v>H-Bottom</v>
          </cell>
          <cell r="Z25">
            <v>135024</v>
          </cell>
        </row>
        <row r="26">
          <cell r="J26" t="str">
            <v>I-Top</v>
          </cell>
          <cell r="Y26" t="str">
            <v>I-Top</v>
          </cell>
          <cell r="Z26">
            <v>221448</v>
          </cell>
        </row>
        <row r="27">
          <cell r="J27" t="str">
            <v>I-Middle</v>
          </cell>
          <cell r="Y27" t="str">
            <v>I-Middle</v>
          </cell>
          <cell r="Z27">
            <v>190944</v>
          </cell>
        </row>
        <row r="28">
          <cell r="J28" t="str">
            <v>I-Bottom</v>
          </cell>
          <cell r="Y28" t="str">
            <v>I-Bottom</v>
          </cell>
          <cell r="Z28">
            <v>164604</v>
          </cell>
        </row>
        <row r="29">
          <cell r="J29" t="str">
            <v>J-Top</v>
          </cell>
          <cell r="Y29" t="str">
            <v>J-Top</v>
          </cell>
          <cell r="Z29">
            <v>256920</v>
          </cell>
        </row>
        <row r="30">
          <cell r="J30" t="str">
            <v>J-Middle</v>
          </cell>
          <cell r="Y30" t="str">
            <v>J-Middle</v>
          </cell>
          <cell r="Z30">
            <v>221448</v>
          </cell>
        </row>
        <row r="31">
          <cell r="J31" t="str">
            <v>J-Bottom</v>
          </cell>
          <cell r="Y31" t="str">
            <v>J-Bottom</v>
          </cell>
          <cell r="Z31">
            <v>190944</v>
          </cell>
        </row>
        <row r="32">
          <cell r="J32" t="str">
            <v>K-Top</v>
          </cell>
          <cell r="Y32" t="str">
            <v>K-Top</v>
          </cell>
          <cell r="Z32">
            <v>297984</v>
          </cell>
        </row>
        <row r="33">
          <cell r="J33" t="str">
            <v>K-Middle</v>
          </cell>
          <cell r="Y33" t="str">
            <v>K-Middle</v>
          </cell>
          <cell r="Z33">
            <v>256920</v>
          </cell>
        </row>
        <row r="34">
          <cell r="J34" t="str">
            <v>K-Bottom</v>
          </cell>
          <cell r="Y34" t="str">
            <v>K-Bottom</v>
          </cell>
          <cell r="Z34">
            <v>221448</v>
          </cell>
        </row>
        <row r="35">
          <cell r="J35" t="str">
            <v>L-Top</v>
          </cell>
          <cell r="Y35" t="str">
            <v>L-Top</v>
          </cell>
          <cell r="Z35">
            <v>354288</v>
          </cell>
        </row>
        <row r="36">
          <cell r="J36" t="str">
            <v>L-Middle</v>
          </cell>
          <cell r="Y36" t="str">
            <v>L-Middle</v>
          </cell>
          <cell r="Z36">
            <v>305448</v>
          </cell>
        </row>
        <row r="37">
          <cell r="J37" t="str">
            <v>L-Bottom</v>
          </cell>
          <cell r="Y37" t="str">
            <v>L-Bottom</v>
          </cell>
          <cell r="Z37">
            <v>263364</v>
          </cell>
        </row>
        <row r="38">
          <cell r="Y38" t="str">
            <v>2 - 3-Top</v>
          </cell>
          <cell r="Z38">
            <v>22104</v>
          </cell>
        </row>
        <row r="39">
          <cell r="Y39" t="str">
            <v>2 - 3-Middle</v>
          </cell>
          <cell r="Z39">
            <v>19632</v>
          </cell>
        </row>
        <row r="40">
          <cell r="Y40" t="str">
            <v>2 - 3-Bottom</v>
          </cell>
          <cell r="Z40">
            <v>16872</v>
          </cell>
        </row>
        <row r="41">
          <cell r="Y41" t="str">
            <v>7 - 8-Top</v>
          </cell>
          <cell r="Z41">
            <v>60120</v>
          </cell>
        </row>
        <row r="42">
          <cell r="Y42" t="str">
            <v>7 - 8-Middle</v>
          </cell>
          <cell r="Z42">
            <v>53148</v>
          </cell>
        </row>
        <row r="43">
          <cell r="Y43" t="str">
            <v>7 - 8-Bottom</v>
          </cell>
          <cell r="Z43">
            <v>44748</v>
          </cell>
        </row>
        <row r="44">
          <cell r="Y44" t="str">
            <v>8 - 9-Top</v>
          </cell>
          <cell r="Z44">
            <v>76260</v>
          </cell>
        </row>
        <row r="45">
          <cell r="Y45" t="str">
            <v>8 - 9-Middle</v>
          </cell>
          <cell r="Z45">
            <v>69768</v>
          </cell>
        </row>
        <row r="46">
          <cell r="Y46" t="str">
            <v>8 - 9-Bottom</v>
          </cell>
          <cell r="Z46">
            <v>61956</v>
          </cell>
        </row>
        <row r="47">
          <cell r="Y47" t="str">
            <v>10 - 11-Top</v>
          </cell>
          <cell r="Z47">
            <v>108024</v>
          </cell>
        </row>
        <row r="48">
          <cell r="Y48" t="str">
            <v>10 - 11-Middle</v>
          </cell>
          <cell r="Z48">
            <v>90420</v>
          </cell>
        </row>
        <row r="49">
          <cell r="Y49" t="str">
            <v>10 - 11-Bottom</v>
          </cell>
          <cell r="Z49">
            <v>77964</v>
          </cell>
        </row>
        <row r="50">
          <cell r="Y50" t="str">
            <v>12 - 13-Top</v>
          </cell>
          <cell r="Z50">
            <v>131724</v>
          </cell>
        </row>
        <row r="51">
          <cell r="Y51" t="str">
            <v>12 - 13-Middle</v>
          </cell>
          <cell r="Z51">
            <v>122244</v>
          </cell>
        </row>
        <row r="52">
          <cell r="Y52" t="str">
            <v>12 - 13-Bottom</v>
          </cell>
          <cell r="Z52">
            <v>110724</v>
          </cell>
        </row>
        <row r="53">
          <cell r="Y53" t="str">
            <v>13 - 14-Top</v>
          </cell>
          <cell r="Z53">
            <v>145428</v>
          </cell>
        </row>
        <row r="54">
          <cell r="Y54" t="str">
            <v>13 - 14-Middle</v>
          </cell>
          <cell r="Z54">
            <v>141876</v>
          </cell>
        </row>
        <row r="55">
          <cell r="Y55" t="str">
            <v>13 - 14-Bottom</v>
          </cell>
          <cell r="Z55">
            <v>135024</v>
          </cell>
        </row>
        <row r="56">
          <cell r="Y56" t="str">
            <v>15-Top</v>
          </cell>
          <cell r="Z56">
            <v>160560</v>
          </cell>
        </row>
        <row r="57">
          <cell r="Y57" t="str">
            <v>15-Middle</v>
          </cell>
          <cell r="Z57">
            <v>156660</v>
          </cell>
        </row>
        <row r="58">
          <cell r="Y58" t="str">
            <v>15-Bottom</v>
          </cell>
          <cell r="Z58">
            <v>149076</v>
          </cell>
        </row>
        <row r="59">
          <cell r="Y59" t="str">
            <v>16-Top</v>
          </cell>
          <cell r="Z59">
            <v>177264</v>
          </cell>
        </row>
        <row r="60">
          <cell r="Y60" t="str">
            <v>16-Middle</v>
          </cell>
          <cell r="Z60">
            <v>172944</v>
          </cell>
        </row>
        <row r="61">
          <cell r="Y61" t="str">
            <v>16-Bottom</v>
          </cell>
          <cell r="Z61">
            <v>164604</v>
          </cell>
        </row>
        <row r="62">
          <cell r="Y62" t="str">
            <v>17-Top</v>
          </cell>
          <cell r="Z62">
            <v>195720</v>
          </cell>
        </row>
        <row r="63">
          <cell r="Y63" t="str">
            <v>17-Middle</v>
          </cell>
          <cell r="Z63">
            <v>190944</v>
          </cell>
        </row>
        <row r="64">
          <cell r="Y64" t="str">
            <v>17-Bottom</v>
          </cell>
          <cell r="Z64">
            <v>181692</v>
          </cell>
        </row>
        <row r="65">
          <cell r="Y65" t="str">
            <v>18 - 19-Top</v>
          </cell>
          <cell r="Z65">
            <v>216072</v>
          </cell>
        </row>
        <row r="66">
          <cell r="Y66" t="str">
            <v>18 - 19-Middle</v>
          </cell>
          <cell r="Z66">
            <v>210816</v>
          </cell>
        </row>
        <row r="67">
          <cell r="Y67" t="str">
            <v>18 - 19-Bottom</v>
          </cell>
          <cell r="Z67">
            <v>200640</v>
          </cell>
        </row>
        <row r="68">
          <cell r="Y68" t="str">
            <v>20-Top</v>
          </cell>
          <cell r="Z68">
            <v>238524</v>
          </cell>
        </row>
        <row r="69">
          <cell r="Y69" t="str">
            <v>20-Middle</v>
          </cell>
          <cell r="Z69">
            <v>221448</v>
          </cell>
        </row>
        <row r="70">
          <cell r="Y70" t="str">
            <v>20-Bottom</v>
          </cell>
          <cell r="Z70">
            <v>221448</v>
          </cell>
        </row>
        <row r="71">
          <cell r="Y71" t="str">
            <v>8 - 9-Top</v>
          </cell>
          <cell r="Z71">
            <v>76260</v>
          </cell>
        </row>
        <row r="72">
          <cell r="Y72" t="str">
            <v>8 - 9-Middle</v>
          </cell>
          <cell r="Z72">
            <v>65760</v>
          </cell>
        </row>
        <row r="73">
          <cell r="Y73" t="str">
            <v>8 - 9-Bottom</v>
          </cell>
          <cell r="Z73">
            <v>56676</v>
          </cell>
        </row>
        <row r="74">
          <cell r="Y74" t="str">
            <v>10-Top</v>
          </cell>
          <cell r="Z74">
            <v>90420</v>
          </cell>
        </row>
        <row r="75">
          <cell r="Y75" t="str">
            <v>10-Middle</v>
          </cell>
          <cell r="Z75">
            <v>85188</v>
          </cell>
        </row>
        <row r="76">
          <cell r="Y76" t="str">
            <v>10-Bottom</v>
          </cell>
          <cell r="Z76">
            <v>77964</v>
          </cell>
        </row>
        <row r="77">
          <cell r="Y77" t="str">
            <v>11 - 12-Top</v>
          </cell>
          <cell r="Z77">
            <v>113544</v>
          </cell>
        </row>
        <row r="78">
          <cell r="Y78" t="str">
            <v>11 - 12-Middle</v>
          </cell>
          <cell r="Z78">
            <v>104868</v>
          </cell>
        </row>
        <row r="79">
          <cell r="Y79" t="str">
            <v>11 - 12-Bottom</v>
          </cell>
          <cell r="Z79">
            <v>93108</v>
          </cell>
        </row>
        <row r="80">
          <cell r="Y80" t="str">
            <v>Teacher assistant L1-Top</v>
          </cell>
          <cell r="Z80">
            <v>20496</v>
          </cell>
        </row>
        <row r="81">
          <cell r="Y81" t="str">
            <v>Teacher assistant L1-Middle</v>
          </cell>
          <cell r="Z81">
            <v>23028</v>
          </cell>
        </row>
        <row r="82">
          <cell r="Y82" t="str">
            <v>Teacher assistant L1-Bottom</v>
          </cell>
          <cell r="Z82">
            <v>26316</v>
          </cell>
        </row>
        <row r="83">
          <cell r="Y83" t="str">
            <v>Teacher assistant L2-Top</v>
          </cell>
          <cell r="Z83">
            <v>27228</v>
          </cell>
        </row>
        <row r="84">
          <cell r="Y84" t="str">
            <v>Teacher assistant L2-Middle</v>
          </cell>
          <cell r="Z84">
            <v>34608</v>
          </cell>
        </row>
        <row r="85">
          <cell r="Y85" t="str">
            <v>Teacher assistant L2-Bottom</v>
          </cell>
          <cell r="Z85">
            <v>43764</v>
          </cell>
        </row>
        <row r="86">
          <cell r="Y86" t="str">
            <v>Teacher assistant L3-Top</v>
          </cell>
          <cell r="Z86">
            <v>45252</v>
          </cell>
        </row>
        <row r="87">
          <cell r="Y87" t="str">
            <v>Teacher assistant L3-Middle</v>
          </cell>
          <cell r="Z87">
            <v>48252</v>
          </cell>
        </row>
        <row r="88">
          <cell r="Y88" t="str">
            <v>Teacher assistant L3-Bottom</v>
          </cell>
          <cell r="Z88">
            <v>51696</v>
          </cell>
        </row>
        <row r="89">
          <cell r="Y89" t="str">
            <v>Teacher assistant L4-Top</v>
          </cell>
          <cell r="Z89">
            <v>53496</v>
          </cell>
        </row>
        <row r="90">
          <cell r="Y90" t="str">
            <v>Teacher assistant L4-Middle</v>
          </cell>
          <cell r="Z90">
            <v>57036</v>
          </cell>
        </row>
        <row r="91">
          <cell r="Y91" t="str">
            <v>Teacher assistant L4-Bottom</v>
          </cell>
          <cell r="Z91">
            <v>61068</v>
          </cell>
        </row>
        <row r="92">
          <cell r="Y92" t="str">
            <v>Associate instructor-Top</v>
          </cell>
          <cell r="Z92">
            <v>63204</v>
          </cell>
        </row>
        <row r="93">
          <cell r="Y93" t="str">
            <v>Associate instructor-Middle</v>
          </cell>
          <cell r="Z93">
            <v>67692</v>
          </cell>
        </row>
        <row r="94">
          <cell r="Y94" t="str">
            <v>Associate instructor-Bottom</v>
          </cell>
          <cell r="Z94">
            <v>71124</v>
          </cell>
        </row>
        <row r="95">
          <cell r="Y95" t="str">
            <v>Teacher instructor-Top</v>
          </cell>
          <cell r="Z95">
            <v>73272</v>
          </cell>
        </row>
        <row r="96">
          <cell r="Y96" t="str">
            <v>Teacher instructor-Middle</v>
          </cell>
          <cell r="Z96">
            <v>82020</v>
          </cell>
        </row>
        <row r="97">
          <cell r="Y97" t="str">
            <v>Teacher instructor-Bottom</v>
          </cell>
          <cell r="Z97">
            <v>94608</v>
          </cell>
        </row>
        <row r="98">
          <cell r="Y98" t="str">
            <v>District resource teacher-Top</v>
          </cell>
          <cell r="Z98">
            <v>97440</v>
          </cell>
        </row>
        <row r="99">
          <cell r="Y99" t="str">
            <v>District resource teacher-Middle</v>
          </cell>
          <cell r="Z99">
            <v>105936</v>
          </cell>
        </row>
        <row r="100">
          <cell r="Y100" t="str">
            <v>District resource teacher-Bottom</v>
          </cell>
          <cell r="Z100">
            <v>108576</v>
          </cell>
        </row>
        <row r="101">
          <cell r="Y101" t="str">
            <v>Senior Teacher-Top</v>
          </cell>
          <cell r="Z101">
            <v>111288</v>
          </cell>
        </row>
        <row r="102">
          <cell r="Y102" t="str">
            <v>Senior Teacher-Middle</v>
          </cell>
          <cell r="Z102">
            <v>116916</v>
          </cell>
        </row>
        <row r="103">
          <cell r="Y103" t="str">
            <v>Senior Teacher-Bottom</v>
          </cell>
          <cell r="Z103">
            <v>122880</v>
          </cell>
        </row>
        <row r="104">
          <cell r="Y104" t="str">
            <v>Principal small school-Top</v>
          </cell>
          <cell r="Z104">
            <v>125928</v>
          </cell>
        </row>
        <row r="105">
          <cell r="Y105" t="str">
            <v>Principal small school-Middle</v>
          </cell>
          <cell r="Z105">
            <v>132300</v>
          </cell>
        </row>
        <row r="106">
          <cell r="Y106" t="str">
            <v>Principal small school-Bottom</v>
          </cell>
          <cell r="Z106">
            <v>135612</v>
          </cell>
        </row>
        <row r="107">
          <cell r="Y107" t="str">
            <v>Headman</v>
          </cell>
          <cell r="Z107">
            <v>8364</v>
          </cell>
        </row>
        <row r="108">
          <cell r="Y108" t="str">
            <v>Chief II</v>
          </cell>
          <cell r="Z108">
            <v>14448</v>
          </cell>
        </row>
        <row r="109">
          <cell r="Y109" t="str">
            <v xml:space="preserve">Chief I </v>
          </cell>
          <cell r="Z109">
            <v>25152</v>
          </cell>
        </row>
        <row r="110">
          <cell r="Y110" t="str">
            <v>Area Chief II</v>
          </cell>
          <cell r="Z110">
            <v>33936</v>
          </cell>
        </row>
        <row r="111">
          <cell r="Y111" t="str">
            <v xml:space="preserve">Area Chief I </v>
          </cell>
          <cell r="Z111">
            <v>75864</v>
          </cell>
        </row>
        <row r="112">
          <cell r="Y112" t="str">
            <v>Independent Chief</v>
          </cell>
          <cell r="Z112">
            <v>88920</v>
          </cell>
        </row>
      </sheetData>
      <sheetData sheetId="3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Carmen Abdoll" id="{61A41333-126F-4D6B-933E-CD05FA578768}" userId="a9c7505a812f7f22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2" dT="2023-04-26T08:30:52.37" personId="{61A41333-126F-4D6B-933E-CD05FA578768}" id="{F1B28185-6C24-4BD4-954B-F7908B6E0ED9}">
    <text>Taken as is from soul city budget documentation and adjusted for inflation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24" dT="2023-04-25T12:36:15.42" personId="{61A41333-126F-4D6B-933E-CD05FA578768}" id="{63130D4F-26E9-4F4D-B233-26920F173ECF}">
    <text>3 people per club trained in rise young women methodology per annum 
 Training once per annum</text>
  </threadedComment>
  <threadedComment ref="C39" dT="2023-04-25T12:55:21.45" personId="{61A41333-126F-4D6B-933E-CD05FA578768}" id="{39217DD3-B8E1-439C-A7CC-34BA1750758E}">
    <text>Training of club mentors 1 mentor per 20 clubs, 490 clubs so 24 mentors in total and they are trained annually</text>
  </threadedComment>
  <threadedComment ref="C51" dT="2023-04-25T13:13:05.51" personId="{61A41333-126F-4D6B-933E-CD05FA578768}" id="{A07CE228-D3F8-4A69-82A6-0713DEAAA3E7}">
    <text>Annual Provincial Meeting - 100 Members per province</text>
  </threadedComment>
  <threadedComment ref="C65" dT="2023-04-26T08:12:14.73" personId="{61A41333-126F-4D6B-933E-CD05FA578768}" id="{4BFC6026-D8C1-4014-ABDF-77E0C6F41F08}">
    <text>Provincial Congresses  4 in total. 2 Day Social Cohesion and Skills Building motivational workshop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C21" dT="2023-04-25T12:36:15.42" personId="{61A41333-126F-4D6B-933E-CD05FA578768}" id="{CC6B73BC-D282-46A2-B6F1-2848686D2D40}">
    <text>3 people per club trained in rise young women methodology per annum 
 Training once per annum</text>
  </threadedComment>
  <threadedComment ref="C26" dT="2023-04-25T12:55:21.45" personId="{61A41333-126F-4D6B-933E-CD05FA578768}" id="{5DA61A38-E543-428E-A968-B0E56CEC95DC}">
    <text>Training of club mentors 1 mentor per 20 clubs, 490 clubs so 24 mentors in total and they are trained annually</text>
  </threadedComment>
  <threadedComment ref="C28" dT="2023-04-25T12:54:42.71" personId="{61A41333-126F-4D6B-933E-CD05FA578768}" id="{DD47CDA5-13F5-4FC5-A149-0BD4CAF81BFC}">
    <text xml:space="preserve">1 member per club per 20 clubs. There are 490 clubs
So training happens annually for 24 members
</text>
  </threadedComment>
  <threadedComment ref="C40" dT="2023-04-25T13:13:05.51" personId="{61A41333-126F-4D6B-933E-CD05FA578768}" id="{2B744326-000A-4BD9-BA9C-04EE2BF1C821}">
    <text>Annual Provincial Meeting - 100 Members per province</text>
  </threadedComment>
  <threadedComment ref="C41" dT="2023-04-25T12:54:42.71" personId="{61A41333-126F-4D6B-933E-CD05FA578768}" id="{F449DDFB-90BF-420C-8DAF-ED60235F8DF3}">
    <text xml:space="preserve">1 member per club per 20 clubs. There are 490 clubs
So training happens annually for 24 members
</text>
  </threadedComment>
  <threadedComment ref="C55" dT="2023-04-26T08:12:14.73" personId="{61A41333-126F-4D6B-933E-CD05FA578768}" id="{ED195F74-F2C4-4652-9C47-2AAA359F383E}">
    <text>Provincial Congresses  4 in total. 2 Day Social Cohesion and Skills Building motivational workshop</text>
  </threadedComment>
  <threadedComment ref="C74" dT="2023-04-26T08:30:52.37" personId="{61A41333-126F-4D6B-933E-CD05FA578768}" id="{3AB8B1AE-E4E1-4532-937E-2AB9B2B55A8A}">
    <text>Taken as is from soul city budget documentation and adjusted for inflation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men@cornerstonesa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BCD60-9B2D-4225-9E97-03AD6A97C364}">
  <dimension ref="B1:T25"/>
  <sheetViews>
    <sheetView showGridLines="0" tabSelected="1" zoomScale="110" zoomScaleNormal="110" workbookViewId="0">
      <pane xSplit="35" ySplit="44" topLeftCell="AJ45" activePane="bottomRight" state="frozen"/>
      <selection pane="topRight" activeCell="AJ1" sqref="AJ1"/>
      <selection pane="bottomLeft" activeCell="A44" sqref="A44"/>
      <selection pane="bottomRight" activeCell="H9" sqref="H9"/>
    </sheetView>
  </sheetViews>
  <sheetFormatPr defaultColWidth="8.6328125" defaultRowHeight="14.5" x14ac:dyDescent="0.35"/>
  <cols>
    <col min="5" max="5" width="9.6328125" customWidth="1"/>
    <col min="6" max="10" width="8.6328125" customWidth="1"/>
    <col min="11" max="11" width="9.6328125" customWidth="1"/>
    <col min="12" max="12" width="5.453125" customWidth="1"/>
    <col min="13" max="13" width="4.6328125" customWidth="1"/>
  </cols>
  <sheetData>
    <row r="1" spans="2:20" ht="10.5" customHeight="1" x14ac:dyDescent="0.5">
      <c r="D1" s="147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2:20" ht="10.5" customHeight="1" x14ac:dyDescent="0.55000000000000004">
      <c r="H2" s="2"/>
    </row>
    <row r="3" spans="2:20" ht="9" customHeight="1" x14ac:dyDescent="0.35">
      <c r="P3" s="3"/>
    </row>
    <row r="4" spans="2:20" ht="27.5" x14ac:dyDescent="0.55000000000000004">
      <c r="E4" s="4"/>
      <c r="F4" s="4"/>
      <c r="G4" s="4"/>
      <c r="H4" s="5" t="s">
        <v>6</v>
      </c>
      <c r="I4" s="4"/>
      <c r="J4" s="4"/>
      <c r="K4" s="4"/>
      <c r="P4" s="3"/>
    </row>
    <row r="5" spans="2:20" ht="27.5" x14ac:dyDescent="0.55000000000000004">
      <c r="E5" s="4"/>
      <c r="F5" s="4"/>
      <c r="G5" s="4"/>
      <c r="H5" s="5" t="s">
        <v>10</v>
      </c>
      <c r="I5" s="4"/>
      <c r="J5" s="4"/>
      <c r="K5" s="4"/>
      <c r="P5" s="3"/>
    </row>
    <row r="6" spans="2:20" ht="25" x14ac:dyDescent="0.4">
      <c r="E6" s="4"/>
      <c r="F6" s="4"/>
      <c r="G6" s="4"/>
      <c r="H6" s="24"/>
      <c r="I6" s="4"/>
      <c r="J6" s="4"/>
      <c r="K6" s="4"/>
      <c r="P6" s="3"/>
    </row>
    <row r="7" spans="2:20" ht="6.75" customHeight="1" x14ac:dyDescent="0.35">
      <c r="H7" s="1"/>
    </row>
    <row r="8" spans="2:20" ht="17.5" x14ac:dyDescent="0.35">
      <c r="H8" s="6" t="s">
        <v>196</v>
      </c>
    </row>
    <row r="9" spans="2:20" x14ac:dyDescent="0.35">
      <c r="H9" s="7" t="s">
        <v>11</v>
      </c>
    </row>
    <row r="10" spans="2:20" ht="32.25" customHeight="1" thickBot="1" x14ac:dyDescent="0.4">
      <c r="E10" s="149" t="s">
        <v>12</v>
      </c>
      <c r="F10" s="149"/>
      <c r="G10" s="149"/>
      <c r="H10" s="149"/>
      <c r="I10" s="149"/>
      <c r="J10" s="149"/>
      <c r="K10" s="149"/>
    </row>
    <row r="11" spans="2:20" ht="8.25" customHeight="1" x14ac:dyDescent="0.35"/>
    <row r="12" spans="2:20" ht="13.5" customHeight="1" x14ac:dyDescent="0.35">
      <c r="E12" s="150" t="s">
        <v>7</v>
      </c>
      <c r="F12" s="150"/>
      <c r="G12" s="150"/>
      <c r="L12" s="8"/>
      <c r="M12" s="8"/>
      <c r="N12" s="8"/>
      <c r="O12" s="9"/>
    </row>
    <row r="13" spans="2:20" s="12" customFormat="1" ht="13.5" customHeight="1" x14ac:dyDescent="0.6">
      <c r="B13"/>
      <c r="C13"/>
      <c r="D13"/>
      <c r="E13"/>
      <c r="F13" s="10" t="s">
        <v>15</v>
      </c>
      <c r="G13"/>
      <c r="H13" s="11" t="s">
        <v>8</v>
      </c>
      <c r="J13" s="11" t="s">
        <v>151</v>
      </c>
      <c r="L13"/>
      <c r="M13" s="25" t="s">
        <v>16</v>
      </c>
      <c r="O13" s="14"/>
      <c r="P13" s="15"/>
      <c r="Q13" s="15"/>
      <c r="R13"/>
      <c r="S13"/>
      <c r="T13"/>
    </row>
    <row r="14" spans="2:20" s="19" customFormat="1" ht="13.5" customHeight="1" x14ac:dyDescent="0.6">
      <c r="B14" s="16"/>
      <c r="C14" s="16"/>
      <c r="D14" s="16"/>
      <c r="E14" s="17" t="s">
        <v>9</v>
      </c>
      <c r="F14" s="10" t="s">
        <v>13</v>
      </c>
      <c r="G14"/>
      <c r="H14" s="11" t="s">
        <v>14</v>
      </c>
      <c r="I14" s="12"/>
      <c r="J14" s="11"/>
      <c r="K14" s="12"/>
      <c r="L14"/>
      <c r="M14" s="13"/>
      <c r="N14" s="12"/>
      <c r="O14" s="14"/>
      <c r="P14" s="18"/>
      <c r="Q14" s="18"/>
      <c r="R14" s="16"/>
      <c r="S14" s="16"/>
      <c r="T14" s="16"/>
    </row>
    <row r="15" spans="2:20" s="12" customFormat="1" ht="13.5" customHeight="1" x14ac:dyDescent="0.6">
      <c r="B15"/>
      <c r="C15"/>
      <c r="F15" s="10"/>
      <c r="G15"/>
      <c r="H15" s="11"/>
      <c r="J15" s="11"/>
      <c r="L15"/>
      <c r="M15" s="13"/>
      <c r="O15" s="14"/>
      <c r="P15" s="20"/>
      <c r="Q15" s="20"/>
      <c r="R15"/>
      <c r="S15"/>
      <c r="T15"/>
    </row>
    <row r="16" spans="2:20" s="12" customFormat="1" ht="11.25" customHeight="1" x14ac:dyDescent="0.6">
      <c r="B16"/>
      <c r="C16"/>
      <c r="F16" s="10"/>
      <c r="G16"/>
      <c r="H16" s="11"/>
      <c r="K16" s="11"/>
      <c r="L16"/>
      <c r="M16"/>
      <c r="N16" s="13"/>
      <c r="O16" s="21"/>
      <c r="P16" s="20"/>
      <c r="Q16" s="21"/>
      <c r="R16"/>
      <c r="S16"/>
      <c r="T16"/>
    </row>
    <row r="17" spans="6:17" ht="11.25" customHeight="1" x14ac:dyDescent="0.35">
      <c r="F17" s="10"/>
      <c r="H17" s="11"/>
      <c r="K17" s="11"/>
      <c r="N17" s="13"/>
      <c r="O17" s="21"/>
      <c r="P17" s="22"/>
      <c r="Q17" s="22"/>
    </row>
    <row r="18" spans="6:17" ht="11.25" customHeight="1" x14ac:dyDescent="0.35">
      <c r="F18" s="10"/>
      <c r="H18" s="11"/>
      <c r="K18" s="11"/>
      <c r="N18" s="13"/>
      <c r="O18" s="21"/>
      <c r="P18" s="22"/>
      <c r="Q18" s="22"/>
    </row>
    <row r="25" spans="6:17" x14ac:dyDescent="0.35">
      <c r="G25" s="23"/>
    </row>
  </sheetData>
  <mergeCells count="3">
    <mergeCell ref="D1:T1"/>
    <mergeCell ref="E10:K10"/>
    <mergeCell ref="E12:G12"/>
  </mergeCells>
  <hyperlinks>
    <hyperlink ref="M13" r:id="rId1" xr:uid="{760905B3-1B33-469E-87E6-063726FB64E8}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4D3FE-1345-4DE3-BF0C-C1B0362C375E}">
  <sheetPr>
    <tabColor theme="3" tint="-0.249977111117893"/>
  </sheetPr>
  <dimension ref="A1:K63"/>
  <sheetViews>
    <sheetView showGridLines="0" zoomScaleNormal="100"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H19" sqref="H19"/>
    </sheetView>
  </sheetViews>
  <sheetFormatPr defaultColWidth="8.81640625" defaultRowHeight="14" x14ac:dyDescent="0.3"/>
  <cols>
    <col min="1" max="1" width="3.36328125" style="47" customWidth="1"/>
    <col min="2" max="2" width="5.1796875" style="48" customWidth="1"/>
    <col min="3" max="3" width="81.90625" style="49" customWidth="1"/>
    <col min="4" max="5" width="12.81640625" style="47" customWidth="1"/>
    <col min="6" max="6" width="14.08984375" style="47" customWidth="1"/>
    <col min="7" max="7" width="10.08984375" style="47" bestFit="1" customWidth="1"/>
    <col min="8" max="10" width="8.81640625" style="47"/>
    <col min="11" max="11" width="38.81640625" style="47" customWidth="1"/>
    <col min="12" max="16384" width="8.81640625" style="47"/>
  </cols>
  <sheetData>
    <row r="1" spans="1:11" s="45" customFormat="1" x14ac:dyDescent="0.3">
      <c r="A1" s="45" t="s">
        <v>29</v>
      </c>
    </row>
    <row r="2" spans="1:11" ht="14.5" customHeight="1" x14ac:dyDescent="0.3">
      <c r="D2" s="151" t="s">
        <v>48</v>
      </c>
      <c r="E2" s="151"/>
      <c r="F2" s="151"/>
    </row>
    <row r="3" spans="1:11" ht="14" customHeight="1" x14ac:dyDescent="0.3">
      <c r="D3" s="121" t="s">
        <v>18</v>
      </c>
      <c r="E3" s="124" t="s">
        <v>19</v>
      </c>
      <c r="F3" s="124" t="s">
        <v>20</v>
      </c>
    </row>
    <row r="4" spans="1:11" ht="14" customHeight="1" x14ac:dyDescent="0.3">
      <c r="D4" s="122">
        <v>1</v>
      </c>
      <c r="E4" s="125">
        <v>1.5</v>
      </c>
      <c r="F4" s="125">
        <v>2</v>
      </c>
    </row>
    <row r="5" spans="1:11" ht="14.5" customHeight="1" x14ac:dyDescent="0.3">
      <c r="D5" s="121" t="s">
        <v>105</v>
      </c>
      <c r="E5" s="124" t="s">
        <v>22</v>
      </c>
      <c r="F5" s="124" t="s">
        <v>21</v>
      </c>
    </row>
    <row r="6" spans="1:11" x14ac:dyDescent="0.3">
      <c r="B6" s="46" t="s">
        <v>155</v>
      </c>
      <c r="C6" s="46"/>
      <c r="D6" s="46"/>
      <c r="E6" s="133"/>
      <c r="F6" s="46"/>
      <c r="G6" s="115"/>
      <c r="H6" s="115"/>
      <c r="I6" s="115"/>
      <c r="J6" s="132"/>
      <c r="K6" s="115"/>
    </row>
    <row r="7" spans="1:11" x14ac:dyDescent="0.3">
      <c r="B7" s="47"/>
      <c r="C7" s="127"/>
      <c r="D7" s="129"/>
      <c r="E7" s="129"/>
      <c r="F7" s="129"/>
      <c r="H7" s="99"/>
      <c r="I7" s="99"/>
      <c r="J7" s="99"/>
      <c r="K7" s="99"/>
    </row>
    <row r="8" spans="1:11" x14ac:dyDescent="0.3">
      <c r="B8" s="127"/>
      <c r="C8" s="127" t="s">
        <v>156</v>
      </c>
      <c r="D8" s="129">
        <v>0.25</v>
      </c>
      <c r="E8" s="129">
        <v>0.25</v>
      </c>
      <c r="F8" s="129">
        <v>0.25</v>
      </c>
      <c r="I8" s="99"/>
      <c r="J8" s="99"/>
      <c r="K8" s="99"/>
    </row>
    <row r="9" spans="1:11" x14ac:dyDescent="0.3">
      <c r="B9" s="46" t="s">
        <v>32</v>
      </c>
      <c r="C9" s="46"/>
      <c r="D9" s="46"/>
      <c r="E9" s="133"/>
      <c r="F9" s="46"/>
    </row>
    <row r="10" spans="1:11" x14ac:dyDescent="0.3">
      <c r="B10" s="128"/>
      <c r="C10" s="127" t="s">
        <v>141</v>
      </c>
      <c r="D10" s="134">
        <f>5250*12</f>
        <v>63000</v>
      </c>
      <c r="E10" s="134">
        <f>5250*12</f>
        <v>63000</v>
      </c>
      <c r="F10" s="134">
        <f>5250*12</f>
        <v>63000</v>
      </c>
    </row>
    <row r="11" spans="1:11" x14ac:dyDescent="0.3">
      <c r="B11" s="128"/>
      <c r="C11" s="96" t="s">
        <v>148</v>
      </c>
      <c r="D11" s="134">
        <v>233000</v>
      </c>
      <c r="E11" s="134">
        <v>233000</v>
      </c>
      <c r="F11" s="134">
        <v>233000</v>
      </c>
      <c r="G11" s="97"/>
    </row>
    <row r="12" spans="1:11" x14ac:dyDescent="0.3">
      <c r="B12" s="128"/>
      <c r="C12" s="96" t="s">
        <v>149</v>
      </c>
      <c r="D12" s="134">
        <v>750000</v>
      </c>
      <c r="E12" s="134">
        <v>750000</v>
      </c>
      <c r="F12" s="134">
        <v>750000</v>
      </c>
      <c r="G12" s="97"/>
    </row>
    <row r="13" spans="1:11" x14ac:dyDescent="0.3">
      <c r="B13" s="128"/>
      <c r="C13" s="96" t="s">
        <v>150</v>
      </c>
      <c r="D13" s="134">
        <v>950000</v>
      </c>
      <c r="E13" s="134">
        <v>950000</v>
      </c>
      <c r="F13" s="134">
        <v>950000</v>
      </c>
      <c r="G13" s="97"/>
    </row>
    <row r="15" spans="1:11" x14ac:dyDescent="0.3">
      <c r="B15" s="46" t="s">
        <v>25</v>
      </c>
      <c r="C15" s="46"/>
      <c r="D15" s="46"/>
      <c r="E15" s="133"/>
      <c r="F15" s="46"/>
    </row>
    <row r="16" spans="1:11" x14ac:dyDescent="0.3">
      <c r="C16" s="49" t="s">
        <v>49</v>
      </c>
      <c r="D16" s="134">
        <v>1200</v>
      </c>
      <c r="E16" s="134">
        <v>1200</v>
      </c>
      <c r="F16" s="134">
        <v>1200</v>
      </c>
      <c r="G16" s="47" t="s">
        <v>50</v>
      </c>
    </row>
    <row r="17" spans="3:8" x14ac:dyDescent="0.3">
      <c r="C17" s="49" t="s">
        <v>52</v>
      </c>
      <c r="D17" s="135">
        <v>500</v>
      </c>
      <c r="E17" s="135">
        <v>500</v>
      </c>
      <c r="F17" s="135">
        <v>500</v>
      </c>
      <c r="G17" s="47" t="s">
        <v>53</v>
      </c>
    </row>
    <row r="18" spans="3:8" x14ac:dyDescent="0.3">
      <c r="C18" s="49" t="s">
        <v>70</v>
      </c>
      <c r="D18" s="135">
        <v>500</v>
      </c>
      <c r="E18" s="135">
        <v>500</v>
      </c>
      <c r="F18" s="135">
        <v>500</v>
      </c>
      <c r="G18" s="47" t="s">
        <v>50</v>
      </c>
    </row>
    <row r="19" spans="3:8" x14ac:dyDescent="0.3">
      <c r="C19" s="49" t="s">
        <v>56</v>
      </c>
      <c r="D19" s="135">
        <v>30</v>
      </c>
      <c r="E19" s="135">
        <v>30</v>
      </c>
      <c r="F19" s="135">
        <v>30</v>
      </c>
      <c r="G19" s="47" t="s">
        <v>57</v>
      </c>
      <c r="H19" s="47" t="s">
        <v>58</v>
      </c>
    </row>
    <row r="20" spans="3:8" x14ac:dyDescent="0.3">
      <c r="C20" s="49" t="s">
        <v>123</v>
      </c>
      <c r="D20" s="135">
        <v>50</v>
      </c>
      <c r="E20" s="135">
        <v>50</v>
      </c>
      <c r="F20" s="135">
        <v>50</v>
      </c>
      <c r="G20" s="47" t="s">
        <v>57</v>
      </c>
    </row>
    <row r="21" spans="3:8" x14ac:dyDescent="0.3">
      <c r="C21" s="49" t="s">
        <v>35</v>
      </c>
      <c r="D21" s="134">
        <v>250000</v>
      </c>
      <c r="E21" s="134">
        <v>250000</v>
      </c>
      <c r="F21" s="134">
        <v>250000</v>
      </c>
    </row>
    <row r="22" spans="3:8" x14ac:dyDescent="0.3">
      <c r="C22" s="49" t="s">
        <v>75</v>
      </c>
      <c r="D22" s="134">
        <v>5000</v>
      </c>
      <c r="E22" s="134">
        <v>5000</v>
      </c>
      <c r="F22" s="134">
        <v>5000</v>
      </c>
      <c r="G22" s="47" t="s">
        <v>53</v>
      </c>
    </row>
    <row r="23" spans="3:8" x14ac:dyDescent="0.3">
      <c r="C23" s="49" t="s">
        <v>181</v>
      </c>
      <c r="D23" s="134">
        <v>50000</v>
      </c>
      <c r="E23" s="134">
        <v>50000</v>
      </c>
      <c r="F23" s="134">
        <v>50000</v>
      </c>
      <c r="G23" s="47" t="s">
        <v>50</v>
      </c>
    </row>
    <row r="24" spans="3:8" x14ac:dyDescent="0.3">
      <c r="C24" s="49" t="s">
        <v>60</v>
      </c>
      <c r="D24" s="134">
        <v>10000</v>
      </c>
      <c r="E24" s="134">
        <v>10000</v>
      </c>
      <c r="F24" s="134">
        <v>10000</v>
      </c>
      <c r="G24" s="47" t="s">
        <v>50</v>
      </c>
    </row>
    <row r="25" spans="3:8" x14ac:dyDescent="0.3">
      <c r="C25" s="49" t="s">
        <v>124</v>
      </c>
      <c r="D25" s="134">
        <v>500</v>
      </c>
      <c r="E25" s="134">
        <v>500</v>
      </c>
      <c r="F25" s="134">
        <v>500</v>
      </c>
    </row>
    <row r="26" spans="3:8" x14ac:dyDescent="0.3">
      <c r="C26" s="49" t="s">
        <v>179</v>
      </c>
      <c r="D26" s="134">
        <v>500</v>
      </c>
      <c r="E26" s="134">
        <v>500</v>
      </c>
      <c r="F26" s="134">
        <v>500</v>
      </c>
      <c r="G26" s="47" t="s">
        <v>53</v>
      </c>
    </row>
    <row r="27" spans="3:8" x14ac:dyDescent="0.3">
      <c r="C27" s="49" t="s">
        <v>42</v>
      </c>
      <c r="D27" s="134">
        <v>150</v>
      </c>
      <c r="E27" s="134">
        <v>150</v>
      </c>
      <c r="F27" s="134">
        <v>150</v>
      </c>
      <c r="G27" s="47" t="s">
        <v>64</v>
      </c>
    </row>
    <row r="28" spans="3:8" x14ac:dyDescent="0.3">
      <c r="C28" s="49" t="s">
        <v>71</v>
      </c>
      <c r="D28" s="134">
        <v>75</v>
      </c>
      <c r="E28" s="134">
        <v>75</v>
      </c>
      <c r="F28" s="134">
        <v>75</v>
      </c>
      <c r="G28" s="47" t="s">
        <v>72</v>
      </c>
    </row>
    <row r="29" spans="3:8" x14ac:dyDescent="0.3">
      <c r="C29" s="49" t="s">
        <v>87</v>
      </c>
      <c r="D29" s="134">
        <v>8500</v>
      </c>
      <c r="E29" s="134">
        <v>8500</v>
      </c>
      <c r="F29" s="134">
        <v>8500</v>
      </c>
      <c r="G29" s="47" t="s">
        <v>88</v>
      </c>
    </row>
    <row r="30" spans="3:8" x14ac:dyDescent="0.3">
      <c r="C30" s="49" t="s">
        <v>86</v>
      </c>
      <c r="D30" s="134">
        <v>50000</v>
      </c>
      <c r="E30" s="134">
        <v>50000</v>
      </c>
      <c r="F30" s="134">
        <v>50000</v>
      </c>
      <c r="G30" s="47" t="s">
        <v>88</v>
      </c>
    </row>
    <row r="31" spans="3:8" x14ac:dyDescent="0.3">
      <c r="C31" s="49" t="s">
        <v>136</v>
      </c>
      <c r="D31" s="134">
        <v>50</v>
      </c>
      <c r="E31" s="134">
        <v>50</v>
      </c>
      <c r="F31" s="134">
        <v>50</v>
      </c>
      <c r="G31" s="47" t="s">
        <v>137</v>
      </c>
    </row>
    <row r="32" spans="3:8" x14ac:dyDescent="0.3">
      <c r="C32" s="49" t="s">
        <v>185</v>
      </c>
      <c r="D32" s="134">
        <f>7500</f>
        <v>7500</v>
      </c>
      <c r="E32" s="134">
        <f>7500</f>
        <v>7500</v>
      </c>
      <c r="F32" s="134">
        <f>7500</f>
        <v>7500</v>
      </c>
      <c r="G32" s="47" t="s">
        <v>50</v>
      </c>
    </row>
    <row r="33" spans="2:8" x14ac:dyDescent="0.3">
      <c r="C33" s="49" t="s">
        <v>36</v>
      </c>
      <c r="D33" s="50">
        <v>0.3</v>
      </c>
      <c r="E33" s="50">
        <v>0.3</v>
      </c>
      <c r="F33" s="50">
        <v>0.3</v>
      </c>
    </row>
    <row r="34" spans="2:8" x14ac:dyDescent="0.3">
      <c r="C34" s="49" t="s">
        <v>37</v>
      </c>
      <c r="D34" s="50">
        <v>0.1</v>
      </c>
      <c r="E34" s="50">
        <v>0.1</v>
      </c>
      <c r="F34" s="50">
        <v>0.1</v>
      </c>
    </row>
    <row r="36" spans="2:8" x14ac:dyDescent="0.3">
      <c r="B36" s="46" t="s">
        <v>38</v>
      </c>
      <c r="C36" s="46"/>
      <c r="D36" s="46"/>
      <c r="E36" s="133"/>
      <c r="F36" s="46"/>
    </row>
    <row r="37" spans="2:8" x14ac:dyDescent="0.3">
      <c r="C37" s="51" t="s">
        <v>39</v>
      </c>
      <c r="D37" s="136">
        <f>150*12</f>
        <v>1800</v>
      </c>
      <c r="E37" s="136">
        <f>150*12</f>
        <v>1800</v>
      </c>
      <c r="F37" s="136">
        <f>150*12</f>
        <v>1800</v>
      </c>
      <c r="G37" s="47" t="s">
        <v>34</v>
      </c>
    </row>
    <row r="38" spans="2:8" x14ac:dyDescent="0.3">
      <c r="C38" s="51" t="s">
        <v>40</v>
      </c>
      <c r="D38" s="136">
        <f>600*12</f>
        <v>7200</v>
      </c>
      <c r="E38" s="136">
        <f>600*12</f>
        <v>7200</v>
      </c>
      <c r="F38" s="136">
        <f>600*12</f>
        <v>7200</v>
      </c>
      <c r="G38" s="47" t="s">
        <v>41</v>
      </c>
    </row>
    <row r="40" spans="2:8" x14ac:dyDescent="0.3">
      <c r="C40" s="51" t="s">
        <v>33</v>
      </c>
      <c r="D40" s="136">
        <f>(1.3*5)</f>
        <v>6.5</v>
      </c>
      <c r="E40" s="136">
        <f>(1.3*5)</f>
        <v>6.5</v>
      </c>
      <c r="F40" s="136">
        <f>(1.3*5)</f>
        <v>6.5</v>
      </c>
      <c r="G40" s="47" t="s">
        <v>43</v>
      </c>
      <c r="H40" s="47" t="s">
        <v>44</v>
      </c>
    </row>
    <row r="41" spans="2:8" x14ac:dyDescent="0.3">
      <c r="C41" s="51" t="s">
        <v>138</v>
      </c>
      <c r="D41" s="136">
        <v>1000</v>
      </c>
      <c r="E41" s="136">
        <v>1000</v>
      </c>
      <c r="F41" s="136">
        <v>1000</v>
      </c>
      <c r="G41" s="47" t="s">
        <v>139</v>
      </c>
    </row>
    <row r="43" spans="2:8" x14ac:dyDescent="0.3">
      <c r="B43" s="46"/>
      <c r="C43" s="46" t="s">
        <v>45</v>
      </c>
      <c r="D43" s="46"/>
      <c r="E43" s="133"/>
      <c r="F43" s="46"/>
    </row>
    <row r="44" spans="2:8" x14ac:dyDescent="0.3">
      <c r="C44" s="52" t="s">
        <v>46</v>
      </c>
      <c r="D44" s="136">
        <v>750</v>
      </c>
      <c r="E44" s="136">
        <v>750</v>
      </c>
      <c r="F44" s="136">
        <v>750</v>
      </c>
    </row>
    <row r="45" spans="2:8" x14ac:dyDescent="0.3">
      <c r="C45" s="52" t="s">
        <v>47</v>
      </c>
      <c r="D45" s="137">
        <v>4.6399999999999997</v>
      </c>
      <c r="E45" s="137">
        <v>4.6399999999999997</v>
      </c>
      <c r="F45" s="137">
        <v>4.6399999999999997</v>
      </c>
    </row>
    <row r="47" spans="2:8" x14ac:dyDescent="0.3">
      <c r="B47" s="46"/>
      <c r="C47" s="46" t="s">
        <v>26</v>
      </c>
      <c r="D47" s="46"/>
      <c r="E47" s="133"/>
      <c r="F47" s="46"/>
    </row>
    <row r="48" spans="2:8" x14ac:dyDescent="0.3">
      <c r="C48" s="96" t="s">
        <v>93</v>
      </c>
      <c r="D48" s="134">
        <f>6360*1.3</f>
        <v>8268</v>
      </c>
      <c r="E48" s="134">
        <f>6360*1.3</f>
        <v>8268</v>
      </c>
      <c r="F48" s="134">
        <f>6360*1.3</f>
        <v>8268</v>
      </c>
    </row>
    <row r="49" spans="3:7" x14ac:dyDescent="0.3">
      <c r="C49" s="96" t="s">
        <v>94</v>
      </c>
      <c r="D49" s="134">
        <f>45262*1.3</f>
        <v>58840.6</v>
      </c>
      <c r="E49" s="134">
        <f>45262*1.3</f>
        <v>58840.6</v>
      </c>
      <c r="F49" s="134">
        <f>45262*1.3</f>
        <v>58840.6</v>
      </c>
    </row>
    <row r="50" spans="3:7" x14ac:dyDescent="0.3">
      <c r="C50" s="96" t="s">
        <v>95</v>
      </c>
      <c r="D50" s="134">
        <f>10600*1.3</f>
        <v>13780</v>
      </c>
      <c r="E50" s="134">
        <f>10600*1.3</f>
        <v>13780</v>
      </c>
      <c r="F50" s="134">
        <f>10600*1.3</f>
        <v>13780</v>
      </c>
    </row>
    <row r="51" spans="3:7" x14ac:dyDescent="0.3">
      <c r="C51" s="96" t="s">
        <v>96</v>
      </c>
      <c r="D51" s="134">
        <f>25440*1.3</f>
        <v>33072</v>
      </c>
      <c r="E51" s="134">
        <f>25440*1.3</f>
        <v>33072</v>
      </c>
      <c r="F51" s="134">
        <f>25440*1.3</f>
        <v>33072</v>
      </c>
    </row>
    <row r="52" spans="3:7" x14ac:dyDescent="0.3">
      <c r="C52" s="96" t="s">
        <v>97</v>
      </c>
      <c r="D52" s="134">
        <f>19292*1.3</f>
        <v>25079.600000000002</v>
      </c>
      <c r="E52" s="134">
        <f>19292*1.3</f>
        <v>25079.600000000002</v>
      </c>
      <c r="F52" s="134">
        <f>19292*1.3</f>
        <v>25079.600000000002</v>
      </c>
    </row>
    <row r="53" spans="3:7" x14ac:dyDescent="0.3">
      <c r="C53" s="96" t="s">
        <v>98</v>
      </c>
      <c r="D53" s="134">
        <f>11872*1.3</f>
        <v>15433.6</v>
      </c>
      <c r="E53" s="134">
        <f>11872*1.3</f>
        <v>15433.6</v>
      </c>
      <c r="F53" s="134">
        <f>11872*1.3</f>
        <v>15433.6</v>
      </c>
    </row>
    <row r="54" spans="3:7" x14ac:dyDescent="0.3">
      <c r="C54" s="96" t="s">
        <v>99</v>
      </c>
      <c r="D54" s="134">
        <v>12000</v>
      </c>
      <c r="E54" s="134">
        <v>12000</v>
      </c>
      <c r="F54" s="134">
        <v>12000</v>
      </c>
    </row>
    <row r="55" spans="3:7" x14ac:dyDescent="0.3">
      <c r="C55" s="96" t="s">
        <v>100</v>
      </c>
      <c r="D55" s="134">
        <f>42400*1.3</f>
        <v>55120</v>
      </c>
      <c r="E55" s="134">
        <f>42400*1.3</f>
        <v>55120</v>
      </c>
      <c r="F55" s="134">
        <f>42400*1.3</f>
        <v>55120</v>
      </c>
    </row>
    <row r="56" spans="3:7" x14ac:dyDescent="0.3">
      <c r="C56" s="96" t="s">
        <v>101</v>
      </c>
      <c r="D56" s="138">
        <f>3.18</f>
        <v>3.18</v>
      </c>
      <c r="E56" s="138">
        <f>3.18</f>
        <v>3.18</v>
      </c>
      <c r="F56" s="138">
        <f>3.18</f>
        <v>3.18</v>
      </c>
      <c r="G56" s="47" t="s">
        <v>103</v>
      </c>
    </row>
    <row r="57" spans="3:7" x14ac:dyDescent="0.3">
      <c r="C57" s="96" t="s">
        <v>102</v>
      </c>
      <c r="D57" s="134">
        <v>100000</v>
      </c>
      <c r="E57" s="134">
        <v>100000</v>
      </c>
      <c r="F57" s="134">
        <v>100000</v>
      </c>
    </row>
    <row r="59" spans="3:7" x14ac:dyDescent="0.3">
      <c r="C59" s="49" t="s">
        <v>127</v>
      </c>
      <c r="D59" s="134">
        <v>150000</v>
      </c>
      <c r="E59" s="134">
        <v>150000</v>
      </c>
      <c r="F59" s="134">
        <v>150000</v>
      </c>
    </row>
    <row r="60" spans="3:7" x14ac:dyDescent="0.3">
      <c r="C60" s="49" t="s">
        <v>128</v>
      </c>
      <c r="D60" s="134">
        <v>150000</v>
      </c>
      <c r="E60" s="134">
        <v>150000</v>
      </c>
      <c r="F60" s="134">
        <v>150000</v>
      </c>
    </row>
    <row r="62" spans="3:7" x14ac:dyDescent="0.3">
      <c r="C62" s="49" t="s">
        <v>166</v>
      </c>
      <c r="D62" s="134">
        <v>60000</v>
      </c>
      <c r="E62" s="134">
        <v>60000</v>
      </c>
      <c r="F62" s="134">
        <v>60000</v>
      </c>
    </row>
    <row r="63" spans="3:7" x14ac:dyDescent="0.3">
      <c r="C63" s="49" t="s">
        <v>167</v>
      </c>
      <c r="D63" s="134">
        <v>10000</v>
      </c>
      <c r="E63" s="134">
        <v>10000</v>
      </c>
      <c r="F63" s="134">
        <v>10000</v>
      </c>
    </row>
  </sheetData>
  <mergeCells count="1">
    <mergeCell ref="D2:F2"/>
  </mergeCells>
  <pageMargins left="0.7" right="0.7" top="0.75" bottom="0.75" header="0.3" footer="0.3"/>
  <pageSetup orientation="portrait" r:id="rId1"/>
  <ignoredErrors>
    <ignoredError sqref="F37:F40 F10 F48:F53 D48:D53 D10:E10 D37:D40 D55 F55 E48:E55 D56:F56 D32:F32 E37:E4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34192-8219-439B-B28B-BAB1F54D2EFA}">
  <sheetPr>
    <tabColor rgb="FFC00000"/>
  </sheetPr>
  <dimension ref="A1:T32"/>
  <sheetViews>
    <sheetView showGridLines="0" zoomScaleNormal="100" workbookViewId="0">
      <selection activeCell="J29" sqref="J29"/>
    </sheetView>
  </sheetViews>
  <sheetFormatPr defaultRowHeight="14.5" x14ac:dyDescent="0.35"/>
  <cols>
    <col min="1" max="1" width="3.1796875" customWidth="1"/>
    <col min="2" max="2" width="2.453125" customWidth="1"/>
    <col min="3" max="3" width="23.26953125" customWidth="1"/>
    <col min="4" max="4" width="12" customWidth="1"/>
    <col min="5" max="5" width="11" hidden="1" customWidth="1"/>
    <col min="6" max="6" width="12.453125" hidden="1" customWidth="1"/>
    <col min="7" max="7" width="12.08984375" hidden="1" customWidth="1"/>
    <col min="8" max="8" width="0.81640625" customWidth="1"/>
    <col min="9" max="9" width="12.6328125" customWidth="1"/>
    <col min="10" max="10" width="13.36328125" customWidth="1"/>
    <col min="11" max="11" width="13.81640625" customWidth="1"/>
    <col min="12" max="13" width="4.08984375" customWidth="1"/>
  </cols>
  <sheetData>
    <row r="1" spans="1:20" x14ac:dyDescent="0.35">
      <c r="A1" s="28"/>
      <c r="B1" s="56"/>
      <c r="C1" s="56"/>
      <c r="D1" s="56"/>
      <c r="E1" s="56" t="s">
        <v>28</v>
      </c>
      <c r="F1" s="56"/>
      <c r="G1" s="56"/>
      <c r="H1" s="119"/>
      <c r="I1" s="152" t="s">
        <v>17</v>
      </c>
      <c r="J1" s="152"/>
      <c r="K1" s="152"/>
    </row>
    <row r="2" spans="1:20" x14ac:dyDescent="0.35">
      <c r="A2" s="29"/>
      <c r="B2" s="29"/>
      <c r="C2" s="29"/>
      <c r="D2" s="30"/>
      <c r="E2" s="75" t="s">
        <v>18</v>
      </c>
      <c r="F2" s="76" t="s">
        <v>19</v>
      </c>
      <c r="G2" s="116" t="s">
        <v>20</v>
      </c>
      <c r="H2" s="111"/>
      <c r="I2" s="121" t="s">
        <v>18</v>
      </c>
      <c r="J2" s="124" t="s">
        <v>19</v>
      </c>
      <c r="K2" s="124" t="s">
        <v>20</v>
      </c>
    </row>
    <row r="3" spans="1:20" x14ac:dyDescent="0.35">
      <c r="A3" s="29"/>
      <c r="B3" s="29"/>
      <c r="C3" s="29"/>
      <c r="D3" s="30"/>
      <c r="E3" s="73">
        <v>1</v>
      </c>
      <c r="F3" s="74">
        <v>2</v>
      </c>
      <c r="G3" s="117">
        <v>1.5</v>
      </c>
      <c r="H3" s="111"/>
      <c r="I3" s="122">
        <v>1</v>
      </c>
      <c r="J3" s="125">
        <v>1.5</v>
      </c>
      <c r="K3" s="125">
        <v>2</v>
      </c>
    </row>
    <row r="4" spans="1:20" ht="15" thickBot="1" x14ac:dyDescent="0.4">
      <c r="A4" s="31"/>
      <c r="B4" s="39"/>
      <c r="C4" s="39"/>
      <c r="D4" s="40"/>
      <c r="E4" s="78" t="s">
        <v>105</v>
      </c>
      <c r="F4" s="79" t="s">
        <v>21</v>
      </c>
      <c r="G4" s="118" t="s">
        <v>22</v>
      </c>
      <c r="H4" s="120"/>
      <c r="I4" s="123" t="s">
        <v>105</v>
      </c>
      <c r="J4" s="126" t="s">
        <v>22</v>
      </c>
      <c r="K4" s="126" t="s">
        <v>21</v>
      </c>
    </row>
    <row r="5" spans="1:20" ht="15.5" thickTop="1" thickBot="1" x14ac:dyDescent="0.4">
      <c r="A5" s="31"/>
      <c r="B5" s="53" t="s">
        <v>129</v>
      </c>
      <c r="C5" s="29"/>
      <c r="D5" s="112"/>
      <c r="E5" s="111"/>
      <c r="F5" s="111"/>
      <c r="G5" s="111"/>
      <c r="H5" s="111"/>
      <c r="I5" s="82">
        <f>SUM(I6:I8)</f>
        <v>1035102.8</v>
      </c>
      <c r="J5" s="82">
        <f>SUM(J6:J8)</f>
        <v>1284039.2</v>
      </c>
      <c r="K5" s="82">
        <f t="shared" ref="K5" si="0">SUM(K6:K8)</f>
        <v>1427018</v>
      </c>
    </row>
    <row r="6" spans="1:20" ht="15" thickTop="1" x14ac:dyDescent="0.35">
      <c r="A6" s="28"/>
      <c r="B6" s="28"/>
      <c r="C6" s="36" t="s">
        <v>106</v>
      </c>
      <c r="D6" s="28"/>
      <c r="E6" s="59"/>
      <c r="F6" s="59"/>
      <c r="G6" s="59"/>
      <c r="H6" s="59"/>
      <c r="I6" s="37">
        <f>HeadOffice!I5</f>
        <v>607551.4</v>
      </c>
      <c r="J6" s="37">
        <f>HeadOffice!J5</f>
        <v>750530.2</v>
      </c>
      <c r="K6" s="37">
        <f>HeadOffice!K5</f>
        <v>893509</v>
      </c>
    </row>
    <row r="7" spans="1:20" x14ac:dyDescent="0.35">
      <c r="A7" s="28"/>
      <c r="B7" s="28"/>
      <c r="C7" s="36" t="s">
        <v>142</v>
      </c>
      <c r="D7" s="28"/>
      <c r="E7" s="59"/>
      <c r="F7" s="59"/>
      <c r="G7" s="59"/>
      <c r="H7" s="59"/>
      <c r="I7" s="37">
        <f>Training!I5</f>
        <v>427551.4</v>
      </c>
      <c r="J7" s="37">
        <f>Training!J5</f>
        <v>533509</v>
      </c>
      <c r="K7" s="37">
        <f>Training!K5</f>
        <v>533509</v>
      </c>
    </row>
    <row r="8" spans="1:20" x14ac:dyDescent="0.35">
      <c r="A8" s="28"/>
      <c r="B8" s="28"/>
      <c r="C8" s="36" t="s">
        <v>143</v>
      </c>
      <c r="D8" s="28"/>
      <c r="E8" s="59"/>
      <c r="F8" s="59"/>
      <c r="G8" s="59"/>
      <c r="H8" s="59"/>
      <c r="I8" s="93">
        <f>ClubActivities!I6</f>
        <v>0</v>
      </c>
      <c r="J8" s="93">
        <f>ClubActivities!J6</f>
        <v>0</v>
      </c>
      <c r="K8" s="93">
        <f>ClubActivities!K6</f>
        <v>0</v>
      </c>
    </row>
    <row r="9" spans="1:20" x14ac:dyDescent="0.35">
      <c r="A9" s="28"/>
      <c r="B9" s="28"/>
      <c r="C9" s="36"/>
      <c r="D9" s="28"/>
      <c r="E9" s="59"/>
      <c r="F9" s="59"/>
      <c r="G9" s="59"/>
      <c r="H9" s="59"/>
      <c r="I9" s="59"/>
      <c r="J9" s="59"/>
      <c r="K9" s="59"/>
    </row>
    <row r="10" spans="1:20" ht="15" thickBot="1" x14ac:dyDescent="0.4">
      <c r="A10" s="28"/>
      <c r="B10" s="53" t="s">
        <v>130</v>
      </c>
      <c r="C10" s="36"/>
      <c r="D10" s="28"/>
      <c r="E10" s="59"/>
      <c r="F10" s="59"/>
      <c r="G10" s="59"/>
      <c r="H10" s="59"/>
      <c r="I10" s="82">
        <f>SUM(I11:I13)</f>
        <v>17211326.753333334</v>
      </c>
      <c r="J10" s="82">
        <f>SUM(J11:J13)</f>
        <v>23494634.379999999</v>
      </c>
      <c r="K10" s="82">
        <f t="shared" ref="K10" si="1">SUM(K11:K13)</f>
        <v>30678189.366666667</v>
      </c>
    </row>
    <row r="11" spans="1:20" ht="15" thickTop="1" x14ac:dyDescent="0.35">
      <c r="A11" s="28"/>
      <c r="B11" s="28"/>
      <c r="C11" s="36" t="s">
        <v>106</v>
      </c>
      <c r="D11" s="28"/>
      <c r="E11" s="59"/>
      <c r="F11" s="59"/>
      <c r="G11" s="59"/>
      <c r="H11" s="59"/>
      <c r="I11" s="37">
        <f>HeadOffice!I10</f>
        <v>6833632.71</v>
      </c>
      <c r="J11" s="37">
        <f>HeadOffice!J10</f>
        <v>7334704.5300000003</v>
      </c>
      <c r="K11" s="37">
        <f>HeadOffice!K10</f>
        <v>7835776.3499999996</v>
      </c>
    </row>
    <row r="12" spans="1:20" x14ac:dyDescent="0.35">
      <c r="A12" s="28"/>
      <c r="B12" s="28"/>
      <c r="C12" s="36" t="s">
        <v>142</v>
      </c>
      <c r="D12" s="28"/>
      <c r="E12" s="59"/>
      <c r="F12" s="59"/>
      <c r="G12" s="59"/>
      <c r="H12" s="59"/>
      <c r="I12" s="93">
        <f>Training!I13</f>
        <v>6763318.043333333</v>
      </c>
      <c r="J12" s="93">
        <f>Training!J13</f>
        <v>10236615.85</v>
      </c>
      <c r="K12" s="93">
        <f>Training!K13</f>
        <v>14272661.016666668</v>
      </c>
    </row>
    <row r="13" spans="1:20" x14ac:dyDescent="0.35">
      <c r="A13" s="28"/>
      <c r="B13" s="28"/>
      <c r="C13" s="36" t="s">
        <v>143</v>
      </c>
      <c r="D13" s="28"/>
      <c r="E13" s="59"/>
      <c r="F13" s="59"/>
      <c r="G13" s="59"/>
      <c r="H13" s="59"/>
      <c r="I13" s="93">
        <f>ClubActivities!I10</f>
        <v>3614376</v>
      </c>
      <c r="J13" s="93">
        <f>ClubActivities!J10</f>
        <v>5923314</v>
      </c>
      <c r="K13" s="93">
        <f>ClubActivities!K10</f>
        <v>8569752</v>
      </c>
    </row>
    <row r="14" spans="1:20" ht="15" thickBot="1" x14ac:dyDescent="0.4">
      <c r="B14" s="107"/>
      <c r="C14" s="108"/>
      <c r="D14" s="113" t="s">
        <v>111</v>
      </c>
      <c r="E14" s="110"/>
      <c r="F14" s="110"/>
      <c r="G14" s="110"/>
      <c r="H14" s="59"/>
      <c r="I14" s="82">
        <f>I10+I5</f>
        <v>18246429.553333335</v>
      </c>
      <c r="J14" s="82">
        <f>J10+J5</f>
        <v>24778673.579999998</v>
      </c>
      <c r="K14" s="82">
        <f t="shared" ref="K14" si="2">K10+K5</f>
        <v>32105207.366666667</v>
      </c>
    </row>
    <row r="15" spans="1:20" ht="15" thickTop="1" x14ac:dyDescent="0.35"/>
    <row r="16" spans="1:20" x14ac:dyDescent="0.35">
      <c r="B16" s="68"/>
      <c r="C16" s="69"/>
      <c r="D16" s="69"/>
      <c r="E16" s="70"/>
      <c r="F16" s="70"/>
      <c r="G16" s="70"/>
      <c r="H16" s="70"/>
      <c r="I16" s="71"/>
      <c r="J16" s="71"/>
      <c r="K16" s="71"/>
      <c r="M16" s="159" t="s">
        <v>30</v>
      </c>
      <c r="N16" s="159"/>
      <c r="O16" s="159"/>
      <c r="P16" s="159"/>
      <c r="Q16" s="159"/>
      <c r="R16" s="159"/>
      <c r="S16" s="159"/>
      <c r="T16" s="160"/>
    </row>
    <row r="17" spans="3:20" ht="14.5" customHeight="1" x14ac:dyDescent="0.35">
      <c r="C17" s="36" t="s">
        <v>144</v>
      </c>
      <c r="I17" s="87">
        <v>9</v>
      </c>
      <c r="J17" s="87">
        <v>9</v>
      </c>
      <c r="K17" s="87">
        <v>9</v>
      </c>
      <c r="M17" s="130"/>
      <c r="N17" s="153" t="s">
        <v>192</v>
      </c>
      <c r="O17" s="154"/>
      <c r="P17" s="154"/>
      <c r="Q17" s="154"/>
      <c r="R17" s="154"/>
      <c r="S17" s="154"/>
      <c r="T17" s="155"/>
    </row>
    <row r="18" spans="3:20" x14ac:dyDescent="0.35">
      <c r="C18" s="36" t="s">
        <v>145</v>
      </c>
      <c r="I18" s="87">
        <v>490</v>
      </c>
      <c r="J18" s="37">
        <f>I18*G3</f>
        <v>735</v>
      </c>
      <c r="K18" s="37">
        <f>I18*F3</f>
        <v>980</v>
      </c>
      <c r="M18" s="131"/>
      <c r="N18" s="156"/>
      <c r="O18" s="157"/>
      <c r="P18" s="157"/>
      <c r="Q18" s="157"/>
      <c r="R18" s="157"/>
      <c r="S18" s="157"/>
      <c r="T18" s="158"/>
    </row>
    <row r="19" spans="3:20" ht="14.5" customHeight="1" x14ac:dyDescent="0.35">
      <c r="C19" s="36" t="s">
        <v>146</v>
      </c>
      <c r="I19" s="87">
        <v>25</v>
      </c>
      <c r="J19" s="87">
        <v>25</v>
      </c>
      <c r="K19" s="87">
        <v>25</v>
      </c>
      <c r="L19" s="139"/>
      <c r="M19" s="170"/>
      <c r="N19" s="161" t="s">
        <v>31</v>
      </c>
      <c r="O19" s="162"/>
      <c r="P19" s="162"/>
      <c r="Q19" s="162"/>
      <c r="R19" s="162"/>
      <c r="S19" s="162"/>
      <c r="T19" s="163"/>
    </row>
    <row r="20" spans="3:20" x14ac:dyDescent="0.35">
      <c r="C20" s="36"/>
      <c r="L20" s="139"/>
      <c r="M20" s="171"/>
      <c r="N20" s="164"/>
      <c r="O20" s="165"/>
      <c r="P20" s="165"/>
      <c r="Q20" s="165"/>
      <c r="R20" s="165"/>
      <c r="S20" s="165"/>
      <c r="T20" s="166"/>
    </row>
    <row r="21" spans="3:20" x14ac:dyDescent="0.35">
      <c r="C21" s="36" t="s">
        <v>2</v>
      </c>
      <c r="I21" s="37">
        <f>I14/I18</f>
        <v>37237.611333333334</v>
      </c>
      <c r="J21" s="37">
        <f>J14/J18</f>
        <v>33712.481061224491</v>
      </c>
      <c r="K21" s="37">
        <f>K14/K18</f>
        <v>32760.415680272108</v>
      </c>
      <c r="L21" s="139"/>
      <c r="M21" s="171"/>
      <c r="N21" s="164"/>
      <c r="O21" s="165"/>
      <c r="P21" s="165"/>
      <c r="Q21" s="165"/>
      <c r="R21" s="165"/>
      <c r="S21" s="165"/>
      <c r="T21" s="166"/>
    </row>
    <row r="22" spans="3:20" x14ac:dyDescent="0.35">
      <c r="C22" s="36" t="s">
        <v>147</v>
      </c>
      <c r="I22" s="37">
        <f>I14/(I19*I18)</f>
        <v>1489.5044533333335</v>
      </c>
      <c r="J22" s="37">
        <f>J14/(J19*J18)</f>
        <v>1348.4992424489794</v>
      </c>
      <c r="K22" s="37">
        <f>K14/(K19*K18)</f>
        <v>1310.4166272108844</v>
      </c>
      <c r="L22" s="139"/>
      <c r="M22" s="172"/>
      <c r="N22" s="167"/>
      <c r="O22" s="168"/>
      <c r="P22" s="168"/>
      <c r="Q22" s="168"/>
      <c r="R22" s="168"/>
      <c r="S22" s="168"/>
      <c r="T22" s="169"/>
    </row>
    <row r="23" spans="3:20" x14ac:dyDescent="0.35">
      <c r="C23" s="36" t="s">
        <v>153</v>
      </c>
      <c r="I23" s="37">
        <f>I14/(ClubActivities!E35*ClubActivities!E36)</f>
        <v>2027.3810614814815</v>
      </c>
      <c r="J23" s="37">
        <f>J14/(ClubActivities!F35*ClubActivities!F36)</f>
        <v>1223.6382014814815</v>
      </c>
      <c r="K23" s="37">
        <f>K14/(ClubActivities!G35*ClubActivities!G36)</f>
        <v>891.81131574074072</v>
      </c>
    </row>
    <row r="24" spans="3:20" x14ac:dyDescent="0.35">
      <c r="C24" s="36"/>
    </row>
    <row r="25" spans="3:20" x14ac:dyDescent="0.35">
      <c r="C25" s="36"/>
    </row>
    <row r="26" spans="3:20" x14ac:dyDescent="0.35">
      <c r="C26" s="36"/>
    </row>
    <row r="27" spans="3:20" x14ac:dyDescent="0.35">
      <c r="C27" s="36"/>
    </row>
    <row r="28" spans="3:20" x14ac:dyDescent="0.35">
      <c r="C28" s="36"/>
    </row>
    <row r="29" spans="3:20" x14ac:dyDescent="0.35">
      <c r="C29" s="36"/>
    </row>
    <row r="30" spans="3:20" x14ac:dyDescent="0.35">
      <c r="C30" s="36"/>
    </row>
    <row r="31" spans="3:20" x14ac:dyDescent="0.35">
      <c r="C31" s="36"/>
    </row>
    <row r="32" spans="3:20" x14ac:dyDescent="0.35">
      <c r="C32" s="36"/>
    </row>
  </sheetData>
  <mergeCells count="5">
    <mergeCell ref="I1:K1"/>
    <mergeCell ref="N17:T18"/>
    <mergeCell ref="M16:T16"/>
    <mergeCell ref="N19:T22"/>
    <mergeCell ref="M19:M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F6882-0E27-46DE-9758-7DB8ED8E6661}">
  <sheetPr>
    <tabColor theme="6"/>
  </sheetPr>
  <dimension ref="A1:T55"/>
  <sheetViews>
    <sheetView showGridLines="0" zoomScale="120" zoomScaleNormal="120" workbookViewId="0">
      <selection activeCell="O20" sqref="O20"/>
    </sheetView>
  </sheetViews>
  <sheetFormatPr defaultRowHeight="14.5" x14ac:dyDescent="0.35"/>
  <cols>
    <col min="1" max="1" width="3.1796875" customWidth="1"/>
    <col min="2" max="2" width="2.453125" customWidth="1"/>
    <col min="3" max="3" width="29.90625" customWidth="1"/>
    <col min="4" max="4" width="12.36328125" customWidth="1"/>
    <col min="5" max="5" width="11" customWidth="1"/>
    <col min="6" max="6" width="12.08984375" customWidth="1"/>
    <col min="7" max="7" width="12.453125" customWidth="1"/>
    <col min="8" max="8" width="0.81640625" customWidth="1"/>
    <col min="9" max="9" width="12.6328125" customWidth="1"/>
    <col min="10" max="10" width="13.36328125" customWidth="1"/>
    <col min="11" max="11" width="13.81640625" customWidth="1"/>
    <col min="12" max="12" width="3.36328125" customWidth="1"/>
  </cols>
  <sheetData>
    <row r="1" spans="1:20" x14ac:dyDescent="0.35">
      <c r="A1" s="28"/>
      <c r="B1" s="56"/>
      <c r="C1" s="56"/>
      <c r="D1" s="56"/>
      <c r="E1" s="56" t="s">
        <v>28</v>
      </c>
      <c r="F1" s="56"/>
      <c r="G1" s="56"/>
      <c r="H1" s="119"/>
      <c r="I1" s="146" t="s">
        <v>17</v>
      </c>
      <c r="J1" s="146"/>
      <c r="K1" s="146"/>
      <c r="M1" s="159" t="s">
        <v>30</v>
      </c>
      <c r="N1" s="159"/>
      <c r="O1" s="159"/>
      <c r="P1" s="159"/>
      <c r="Q1" s="159"/>
      <c r="R1" s="159"/>
      <c r="S1" s="159"/>
      <c r="T1" s="160"/>
    </row>
    <row r="2" spans="1:20" x14ac:dyDescent="0.35">
      <c r="A2" s="29"/>
      <c r="B2" s="29"/>
      <c r="C2" s="29"/>
      <c r="D2" s="30"/>
      <c r="E2" s="140" t="s">
        <v>18</v>
      </c>
      <c r="F2" s="102" t="s">
        <v>19</v>
      </c>
      <c r="G2" s="143" t="s">
        <v>20</v>
      </c>
      <c r="H2" s="111"/>
      <c r="I2" s="121" t="s">
        <v>18</v>
      </c>
      <c r="J2" s="124" t="s">
        <v>19</v>
      </c>
      <c r="K2" s="124" t="s">
        <v>20</v>
      </c>
      <c r="M2" s="130"/>
      <c r="N2" s="153" t="s">
        <v>192</v>
      </c>
      <c r="O2" s="154"/>
      <c r="P2" s="154"/>
      <c r="Q2" s="154"/>
      <c r="R2" s="154"/>
      <c r="S2" s="154"/>
      <c r="T2" s="155"/>
    </row>
    <row r="3" spans="1:20" x14ac:dyDescent="0.35">
      <c r="A3" s="29"/>
      <c r="B3" s="29"/>
      <c r="C3" s="29"/>
      <c r="D3" s="30"/>
      <c r="E3" s="141">
        <v>1</v>
      </c>
      <c r="F3" s="103">
        <v>1.5</v>
      </c>
      <c r="G3" s="144">
        <v>2</v>
      </c>
      <c r="H3" s="111"/>
      <c r="I3" s="122">
        <v>1</v>
      </c>
      <c r="J3" s="125">
        <v>1.5</v>
      </c>
      <c r="K3" s="125">
        <v>2</v>
      </c>
      <c r="M3" s="131"/>
      <c r="N3" s="156"/>
      <c r="O3" s="157"/>
      <c r="P3" s="157"/>
      <c r="Q3" s="157"/>
      <c r="R3" s="157"/>
      <c r="S3" s="157"/>
      <c r="T3" s="158"/>
    </row>
    <row r="4" spans="1:20" ht="15" thickBot="1" x14ac:dyDescent="0.4">
      <c r="A4" s="31"/>
      <c r="B4" s="39"/>
      <c r="C4" s="39"/>
      <c r="D4" s="40"/>
      <c r="E4" s="142" t="s">
        <v>105</v>
      </c>
      <c r="F4" s="104" t="s">
        <v>22</v>
      </c>
      <c r="G4" s="145" t="s">
        <v>21</v>
      </c>
      <c r="H4" s="120"/>
      <c r="I4" s="123" t="s">
        <v>105</v>
      </c>
      <c r="J4" s="126" t="s">
        <v>22</v>
      </c>
      <c r="K4" s="126" t="s">
        <v>21</v>
      </c>
      <c r="M4" s="170"/>
      <c r="N4" s="161" t="s">
        <v>31</v>
      </c>
      <c r="O4" s="162"/>
      <c r="P4" s="162"/>
      <c r="Q4" s="162"/>
      <c r="R4" s="162"/>
      <c r="S4" s="162"/>
      <c r="T4" s="163"/>
    </row>
    <row r="5" spans="1:20" ht="15.5" thickTop="1" thickBot="1" x14ac:dyDescent="0.4">
      <c r="A5" s="28"/>
      <c r="B5" s="53" t="s">
        <v>129</v>
      </c>
      <c r="C5" s="53"/>
      <c r="D5" s="53"/>
      <c r="E5" s="53"/>
      <c r="F5" s="53"/>
      <c r="G5" s="53"/>
      <c r="H5" s="59"/>
      <c r="I5" s="82">
        <f>SUM(I6:I8)</f>
        <v>607551.4</v>
      </c>
      <c r="J5" s="82">
        <f>SUM(J6:J8)</f>
        <v>750530.2</v>
      </c>
      <c r="K5" s="82">
        <f t="shared" ref="K5" si="0">SUM(K6:K8)</f>
        <v>893509</v>
      </c>
      <c r="M5" s="171"/>
      <c r="N5" s="164"/>
      <c r="O5" s="165"/>
      <c r="P5" s="165"/>
      <c r="Q5" s="165"/>
      <c r="R5" s="165"/>
      <c r="S5" s="165"/>
      <c r="T5" s="166"/>
    </row>
    <row r="6" spans="1:20" ht="15" thickTop="1" x14ac:dyDescent="0.35">
      <c r="A6" s="28"/>
      <c r="B6" s="53"/>
      <c r="C6" s="36" t="str">
        <f>C18</f>
        <v>Personnel</v>
      </c>
      <c r="D6" s="53"/>
      <c r="E6" s="53"/>
      <c r="F6" s="53"/>
      <c r="G6" s="53"/>
      <c r="H6" s="59"/>
      <c r="I6" s="93">
        <v>0</v>
      </c>
      <c r="J6" s="93">
        <v>0</v>
      </c>
      <c r="K6" s="93">
        <v>0</v>
      </c>
      <c r="M6" s="171"/>
      <c r="N6" s="164"/>
      <c r="O6" s="165"/>
      <c r="P6" s="165"/>
      <c r="Q6" s="165"/>
      <c r="R6" s="165"/>
      <c r="S6" s="165"/>
      <c r="T6" s="166"/>
    </row>
    <row r="7" spans="1:20" x14ac:dyDescent="0.35">
      <c r="A7" s="28"/>
      <c r="B7" s="53"/>
      <c r="C7" s="36" t="str">
        <f>C31</f>
        <v>Development of materials</v>
      </c>
      <c r="D7" s="53"/>
      <c r="E7" s="53"/>
      <c r="F7" s="53"/>
      <c r="G7" s="53"/>
      <c r="H7" s="59"/>
      <c r="I7" s="93">
        <f>I31</f>
        <v>427551.4</v>
      </c>
      <c r="J7" s="93">
        <f>J31</f>
        <v>480530.2</v>
      </c>
      <c r="K7" s="93">
        <f t="shared" ref="K7" si="1">K31</f>
        <v>533509</v>
      </c>
      <c r="M7" s="172"/>
      <c r="N7" s="167"/>
      <c r="O7" s="168"/>
      <c r="P7" s="168"/>
      <c r="Q7" s="168"/>
      <c r="R7" s="168"/>
      <c r="S7" s="168"/>
      <c r="T7" s="169"/>
    </row>
    <row r="8" spans="1:20" x14ac:dyDescent="0.35">
      <c r="A8" s="28"/>
      <c r="B8" s="53"/>
      <c r="C8" s="36" t="str">
        <f>C47</f>
        <v>Monitoring and evaluation</v>
      </c>
      <c r="D8" s="53"/>
      <c r="E8" s="53"/>
      <c r="F8" s="53"/>
      <c r="G8" s="53"/>
      <c r="H8" s="59"/>
      <c r="I8" s="93">
        <f>I50</f>
        <v>180000</v>
      </c>
      <c r="J8" s="93">
        <f>J50</f>
        <v>270000</v>
      </c>
      <c r="K8" s="93">
        <f t="shared" ref="K8" si="2">K50</f>
        <v>360000</v>
      </c>
    </row>
    <row r="9" spans="1:20" x14ac:dyDescent="0.35">
      <c r="A9" s="28"/>
      <c r="B9" s="53"/>
      <c r="C9" s="101"/>
      <c r="D9" s="53"/>
      <c r="E9" s="53"/>
      <c r="F9" s="53"/>
      <c r="G9" s="53"/>
      <c r="H9" s="59"/>
      <c r="I9" s="59"/>
      <c r="J9" s="59"/>
      <c r="K9" s="59"/>
    </row>
    <row r="10" spans="1:20" ht="15" thickBot="1" x14ac:dyDescent="0.4">
      <c r="A10" s="28"/>
      <c r="B10" s="53" t="s">
        <v>130</v>
      </c>
      <c r="C10" s="53"/>
      <c r="D10" s="53"/>
      <c r="E10" s="53"/>
      <c r="F10" s="53"/>
      <c r="G10" s="53"/>
      <c r="H10" s="59"/>
      <c r="I10" s="82">
        <f>SUM(I11:I13)</f>
        <v>6833632.71</v>
      </c>
      <c r="J10" s="82">
        <f>SUM(J11:J13)</f>
        <v>7334704.5300000003</v>
      </c>
      <c r="K10" s="82">
        <f t="shared" ref="K10" si="3">SUM(K11:K13)</f>
        <v>7835776.3499999996</v>
      </c>
    </row>
    <row r="11" spans="1:20" ht="15" thickTop="1" x14ac:dyDescent="0.35">
      <c r="A11" s="28"/>
      <c r="B11" s="28"/>
      <c r="C11" s="36" t="str">
        <f>C18</f>
        <v>Personnel</v>
      </c>
      <c r="D11" s="28"/>
      <c r="E11" s="59"/>
      <c r="F11" s="59"/>
      <c r="G11" s="59"/>
      <c r="H11" s="59"/>
      <c r="I11" s="93">
        <f>I18</f>
        <v>6739500</v>
      </c>
      <c r="J11" s="93">
        <f>J18</f>
        <v>7217625</v>
      </c>
      <c r="K11" s="93">
        <f t="shared" ref="K11" si="4">K18</f>
        <v>7695750</v>
      </c>
    </row>
    <row r="12" spans="1:20" x14ac:dyDescent="0.35">
      <c r="A12" s="28"/>
      <c r="B12" s="28"/>
      <c r="C12" s="36" t="str">
        <f>C31</f>
        <v>Development of materials</v>
      </c>
      <c r="D12" s="28"/>
      <c r="E12" s="59"/>
      <c r="F12" s="59"/>
      <c r="G12" s="59"/>
      <c r="H12" s="59"/>
      <c r="I12" s="93">
        <f>I44</f>
        <v>64132.71</v>
      </c>
      <c r="J12" s="93">
        <f>J44</f>
        <v>72079.53</v>
      </c>
      <c r="K12" s="93">
        <f>K44</f>
        <v>80026.349999999991</v>
      </c>
    </row>
    <row r="13" spans="1:20" x14ac:dyDescent="0.35">
      <c r="A13" s="28"/>
      <c r="B13" s="28"/>
      <c r="C13" s="36" t="str">
        <f>C47</f>
        <v>Monitoring and evaluation</v>
      </c>
      <c r="D13" s="28"/>
      <c r="E13" s="59"/>
      <c r="F13" s="59"/>
      <c r="G13" s="59"/>
      <c r="H13" s="59"/>
      <c r="I13" s="93">
        <f>I51</f>
        <v>30000</v>
      </c>
      <c r="J13" s="93">
        <f>J51</f>
        <v>45000</v>
      </c>
      <c r="K13" s="93">
        <f t="shared" ref="K13" si="5">K51</f>
        <v>60000</v>
      </c>
    </row>
    <row r="14" spans="1:20" x14ac:dyDescent="0.35">
      <c r="A14" s="28"/>
      <c r="B14" s="28"/>
      <c r="C14" s="101"/>
      <c r="D14" s="28"/>
      <c r="E14" s="59"/>
      <c r="F14" s="59"/>
      <c r="G14" s="59"/>
      <c r="H14" s="59"/>
      <c r="I14" s="106"/>
      <c r="J14" s="106"/>
      <c r="K14" s="106"/>
    </row>
    <row r="15" spans="1:20" ht="15" thickBot="1" x14ac:dyDescent="0.4">
      <c r="A15" s="28"/>
      <c r="B15" s="107"/>
      <c r="C15" s="108"/>
      <c r="D15" s="109" t="s">
        <v>111</v>
      </c>
      <c r="E15" s="110"/>
      <c r="F15" s="110"/>
      <c r="G15" s="110"/>
      <c r="H15" s="59"/>
      <c r="I15" s="82">
        <f>I10+I5</f>
        <v>7441184.1100000003</v>
      </c>
      <c r="J15" s="82">
        <f>J10+J5</f>
        <v>8085234.7300000004</v>
      </c>
      <c r="K15" s="82">
        <f t="shared" ref="K15" si="6">K10+K5</f>
        <v>8729285.3499999996</v>
      </c>
    </row>
    <row r="16" spans="1:20" ht="15" thickTop="1" x14ac:dyDescent="0.35">
      <c r="A16" s="28"/>
      <c r="B16" s="28"/>
      <c r="C16" s="36"/>
      <c r="D16" s="28"/>
      <c r="E16" s="59"/>
      <c r="F16" s="59"/>
      <c r="G16" s="59"/>
      <c r="H16" s="59"/>
      <c r="I16" s="59"/>
      <c r="J16" s="59"/>
      <c r="K16" s="59"/>
    </row>
    <row r="17" spans="1:14" x14ac:dyDescent="0.35">
      <c r="A17" s="31"/>
      <c r="B17" s="56"/>
      <c r="C17" s="56"/>
      <c r="D17" s="56"/>
      <c r="E17" s="56"/>
      <c r="F17" s="56"/>
      <c r="G17" s="56"/>
      <c r="H17" s="58"/>
      <c r="I17" s="56"/>
      <c r="J17" s="56"/>
      <c r="K17" s="56"/>
    </row>
    <row r="18" spans="1:14" ht="15" thickBot="1" x14ac:dyDescent="0.4">
      <c r="A18" s="26"/>
      <c r="B18" s="61" t="s">
        <v>90</v>
      </c>
      <c r="C18" s="60" t="s">
        <v>193</v>
      </c>
      <c r="D18" s="60"/>
      <c r="E18" s="60"/>
      <c r="F18" s="60"/>
      <c r="G18" s="60"/>
      <c r="H18" s="61"/>
      <c r="I18" s="82">
        <f>SUM(I20:I29)</f>
        <v>6739500</v>
      </c>
      <c r="J18" s="82">
        <f>SUM(J20:J29)</f>
        <v>7217625</v>
      </c>
      <c r="K18" s="82">
        <f>SUM(K20:K29)</f>
        <v>7695750</v>
      </c>
    </row>
    <row r="19" spans="1:14" ht="15" thickTop="1" x14ac:dyDescent="0.35">
      <c r="A19" s="26"/>
      <c r="B19" s="61"/>
      <c r="C19" s="61"/>
      <c r="D19" s="61"/>
      <c r="E19" s="61"/>
      <c r="F19" s="61"/>
      <c r="G19" s="61"/>
      <c r="H19" s="61"/>
      <c r="I19" s="88"/>
      <c r="J19" s="88"/>
      <c r="K19" s="88"/>
    </row>
    <row r="20" spans="1:14" ht="22" x14ac:dyDescent="0.35">
      <c r="C20" s="51" t="s">
        <v>4</v>
      </c>
      <c r="D20" s="100" t="s">
        <v>154</v>
      </c>
      <c r="E20" s="62"/>
      <c r="F20" s="59"/>
      <c r="G20" s="59"/>
      <c r="I20" s="59"/>
      <c r="J20" s="59"/>
      <c r="K20" s="59"/>
      <c r="L20" s="94"/>
    </row>
    <row r="21" spans="1:14" x14ac:dyDescent="0.35">
      <c r="C21" s="52" t="s">
        <v>149</v>
      </c>
      <c r="D21" s="67">
        <v>0.3</v>
      </c>
      <c r="E21" s="66">
        <v>3</v>
      </c>
      <c r="F21" s="37">
        <f>E21*F3</f>
        <v>4.5</v>
      </c>
      <c r="G21" s="37">
        <f>E21*G3</f>
        <v>6</v>
      </c>
      <c r="I21" s="37">
        <f>(E21*GenAssumptions!D12)*$D$21</f>
        <v>675000</v>
      </c>
      <c r="J21" s="37">
        <f>(F21*GenAssumptions!E12)*$D$21</f>
        <v>1012500</v>
      </c>
      <c r="K21" s="37">
        <f>(G21*GenAssumptions!F12)*$D$21</f>
        <v>1350000</v>
      </c>
      <c r="L21" s="94"/>
    </row>
    <row r="22" spans="1:14" x14ac:dyDescent="0.35">
      <c r="C22" s="52" t="s">
        <v>187</v>
      </c>
      <c r="D22" s="67">
        <v>0.15</v>
      </c>
      <c r="E22" s="66">
        <v>1</v>
      </c>
      <c r="F22" s="66">
        <v>1</v>
      </c>
      <c r="G22" s="66">
        <v>1</v>
      </c>
      <c r="I22" s="37">
        <f>(E22*GenAssumptions!D13)*$D$22</f>
        <v>142500</v>
      </c>
      <c r="J22" s="37">
        <f>(F22*GenAssumptions!E13)*$D$22</f>
        <v>142500</v>
      </c>
      <c r="K22" s="37">
        <f>(G22*GenAssumptions!F13)*$D$22</f>
        <v>142500</v>
      </c>
      <c r="L22" s="94"/>
    </row>
    <row r="23" spans="1:14" x14ac:dyDescent="0.35">
      <c r="C23" s="52" t="s">
        <v>5</v>
      </c>
      <c r="D23" s="67">
        <v>0.3</v>
      </c>
      <c r="E23" s="66">
        <v>1</v>
      </c>
      <c r="F23" s="37">
        <f>E23*F3</f>
        <v>1.5</v>
      </c>
      <c r="G23" s="37">
        <f>E23*G3</f>
        <v>2</v>
      </c>
      <c r="I23" s="37">
        <f>(E23*GenAssumptions!D12)*$D$23</f>
        <v>225000</v>
      </c>
      <c r="J23" s="37">
        <f>(F23*GenAssumptions!E12)*$D$23</f>
        <v>337500</v>
      </c>
      <c r="K23" s="37">
        <f>(G23*GenAssumptions!F12)*$D$23</f>
        <v>450000</v>
      </c>
      <c r="L23" s="94"/>
      <c r="N23" s="36"/>
    </row>
    <row r="24" spans="1:14" x14ac:dyDescent="0.35">
      <c r="C24" s="52" t="s">
        <v>74</v>
      </c>
      <c r="D24" s="37"/>
      <c r="E24" s="37"/>
      <c r="F24" s="37"/>
      <c r="G24" s="37"/>
      <c r="I24" s="37">
        <f>(I20+I29+I23)*GenAssumptions!D8</f>
        <v>765000</v>
      </c>
      <c r="J24" s="37">
        <f>(J20+J29+J23)*GenAssumptions!E8</f>
        <v>793125</v>
      </c>
      <c r="K24" s="37">
        <f>(K20+K29+K23)*GenAssumptions!F8</f>
        <v>821250</v>
      </c>
      <c r="L24" s="94"/>
    </row>
    <row r="25" spans="1:14" x14ac:dyDescent="0.35">
      <c r="C25" s="52"/>
      <c r="E25" s="62"/>
      <c r="F25" s="59"/>
      <c r="G25" s="59"/>
      <c r="I25" s="59"/>
      <c r="J25" s="59"/>
      <c r="K25" s="59"/>
      <c r="L25" s="94"/>
      <c r="N25" s="36"/>
    </row>
    <row r="26" spans="1:14" x14ac:dyDescent="0.35">
      <c r="C26" s="51" t="s">
        <v>195</v>
      </c>
      <c r="E26" s="62"/>
      <c r="F26" s="59"/>
      <c r="G26" s="59"/>
      <c r="I26" s="59"/>
      <c r="J26" s="59"/>
      <c r="K26" s="59"/>
      <c r="L26" s="94"/>
      <c r="N26" s="36"/>
    </row>
    <row r="27" spans="1:14" x14ac:dyDescent="0.35">
      <c r="C27" s="84" t="s">
        <v>148</v>
      </c>
      <c r="D27" s="67">
        <v>1</v>
      </c>
      <c r="E27" s="66">
        <v>9</v>
      </c>
      <c r="F27" s="66">
        <v>9</v>
      </c>
      <c r="G27" s="66">
        <v>9</v>
      </c>
      <c r="I27" s="37">
        <f>(E27*GenAssumptions!D11)*$D$27</f>
        <v>2097000</v>
      </c>
      <c r="J27" s="37">
        <f>(F27*GenAssumptions!E11)*$D$27</f>
        <v>2097000</v>
      </c>
      <c r="K27" s="37">
        <f>(G27*GenAssumptions!F11)*$D$27</f>
        <v>2097000</v>
      </c>
      <c r="L27" s="94"/>
    </row>
    <row r="28" spans="1:14" x14ac:dyDescent="0.35">
      <c r="C28" s="84" t="s">
        <v>194</v>
      </c>
      <c r="E28" s="66">
        <v>5</v>
      </c>
      <c r="F28" s="66">
        <v>5</v>
      </c>
      <c r="G28" s="66">
        <v>5</v>
      </c>
      <c r="I28" s="59"/>
      <c r="J28" s="59"/>
      <c r="K28" s="59"/>
      <c r="L28" s="94"/>
      <c r="N28" s="36"/>
    </row>
    <row r="29" spans="1:14" x14ac:dyDescent="0.35">
      <c r="C29" s="84" t="s">
        <v>140</v>
      </c>
      <c r="D29" s="67">
        <v>1</v>
      </c>
      <c r="E29" s="37">
        <f>E27*E28</f>
        <v>45</v>
      </c>
      <c r="F29" s="37">
        <f>F27*F28</f>
        <v>45</v>
      </c>
      <c r="G29" s="37">
        <f>G27*G28</f>
        <v>45</v>
      </c>
      <c r="H29" s="62"/>
      <c r="I29" s="95">
        <f>(E29*GenAssumptions!D10)*$D$29</f>
        <v>2835000</v>
      </c>
      <c r="J29" s="95">
        <f>(F29*GenAssumptions!E10)*$D$29</f>
        <v>2835000</v>
      </c>
      <c r="K29" s="95">
        <f>(G29*GenAssumptions!F10)*$D$29</f>
        <v>2835000</v>
      </c>
      <c r="M29" s="98"/>
    </row>
    <row r="30" spans="1:14" x14ac:dyDescent="0.35">
      <c r="B30" s="56"/>
      <c r="C30" s="56"/>
      <c r="D30" s="56"/>
      <c r="E30" s="56"/>
      <c r="F30" s="56"/>
      <c r="G30" s="56"/>
      <c r="H30" s="58"/>
      <c r="I30" s="56"/>
      <c r="J30" s="56"/>
      <c r="K30" s="56"/>
    </row>
    <row r="31" spans="1:14" ht="15" thickBot="1" x14ac:dyDescent="0.4">
      <c r="B31" s="61" t="s">
        <v>110</v>
      </c>
      <c r="C31" s="60" t="s">
        <v>158</v>
      </c>
      <c r="D31" s="100" t="s">
        <v>157</v>
      </c>
      <c r="E31" s="60"/>
      <c r="F31" s="60"/>
      <c r="G31" s="60"/>
      <c r="H31" s="61"/>
      <c r="I31" s="82">
        <f>SUM(I33:I42)</f>
        <v>427551.4</v>
      </c>
      <c r="J31" s="82">
        <f>SUM(J33:J42)</f>
        <v>480530.2</v>
      </c>
      <c r="K31" s="82">
        <f>SUM(K33:K42)</f>
        <v>533509</v>
      </c>
    </row>
    <row r="32" spans="1:14" ht="15" thickTop="1" x14ac:dyDescent="0.35">
      <c r="C32" s="49" t="s">
        <v>92</v>
      </c>
      <c r="D32" s="49"/>
      <c r="E32" s="62"/>
      <c r="F32" s="62"/>
      <c r="G32" s="62"/>
      <c r="H32" s="62"/>
    </row>
    <row r="33" spans="2:11" x14ac:dyDescent="0.35">
      <c r="C33" s="51" t="s">
        <v>93</v>
      </c>
      <c r="D33" s="49"/>
      <c r="E33" s="91">
        <v>1</v>
      </c>
      <c r="F33" s="91">
        <v>1</v>
      </c>
      <c r="G33" s="91">
        <v>1</v>
      </c>
      <c r="H33" s="62"/>
      <c r="I33" s="37">
        <f>E33*GenAssumptions!D48</f>
        <v>8268</v>
      </c>
      <c r="J33" s="37">
        <f>F33*GenAssumptions!E48</f>
        <v>8268</v>
      </c>
      <c r="K33" s="37">
        <f>G33*GenAssumptions!F48</f>
        <v>8268</v>
      </c>
    </row>
    <row r="34" spans="2:11" x14ac:dyDescent="0.35">
      <c r="C34" s="51" t="s">
        <v>94</v>
      </c>
      <c r="D34" s="49"/>
      <c r="E34" s="91">
        <v>1</v>
      </c>
      <c r="F34" s="91">
        <v>1</v>
      </c>
      <c r="G34" s="91">
        <v>1</v>
      </c>
      <c r="H34" s="62"/>
      <c r="I34" s="37">
        <f>E34*GenAssumptions!D49</f>
        <v>58840.6</v>
      </c>
      <c r="J34" s="37">
        <f>F34*GenAssumptions!E49</f>
        <v>58840.6</v>
      </c>
      <c r="K34" s="37">
        <f>G34*GenAssumptions!F49</f>
        <v>58840.6</v>
      </c>
    </row>
    <row r="35" spans="2:11" x14ac:dyDescent="0.35">
      <c r="C35" s="51" t="s">
        <v>95</v>
      </c>
      <c r="D35" s="49"/>
      <c r="E35" s="91">
        <v>1</v>
      </c>
      <c r="F35" s="91">
        <v>1</v>
      </c>
      <c r="G35" s="91">
        <v>1</v>
      </c>
      <c r="H35" s="62"/>
      <c r="I35" s="37">
        <f>E35*GenAssumptions!D50</f>
        <v>13780</v>
      </c>
      <c r="J35" s="37">
        <f>F35*GenAssumptions!E50</f>
        <v>13780</v>
      </c>
      <c r="K35" s="37">
        <f>G35*GenAssumptions!F50</f>
        <v>13780</v>
      </c>
    </row>
    <row r="36" spans="2:11" x14ac:dyDescent="0.35">
      <c r="C36" s="51" t="s">
        <v>96</v>
      </c>
      <c r="D36" s="49"/>
      <c r="E36" s="91">
        <v>1</v>
      </c>
      <c r="F36" s="91">
        <v>1</v>
      </c>
      <c r="G36" s="91">
        <v>1</v>
      </c>
      <c r="H36" s="49"/>
      <c r="I36" s="37">
        <f>E36*GenAssumptions!D51</f>
        <v>33072</v>
      </c>
      <c r="J36" s="37">
        <f>F36*GenAssumptions!E51</f>
        <v>33072</v>
      </c>
      <c r="K36" s="37">
        <f>G36*GenAssumptions!F51</f>
        <v>33072</v>
      </c>
    </row>
    <row r="37" spans="2:11" x14ac:dyDescent="0.35">
      <c r="C37" s="51" t="s">
        <v>97</v>
      </c>
      <c r="D37" s="49"/>
      <c r="E37" s="91">
        <v>1</v>
      </c>
      <c r="F37" s="91">
        <v>1</v>
      </c>
      <c r="G37" s="91">
        <v>1</v>
      </c>
      <c r="H37" s="49"/>
      <c r="I37" s="37">
        <f>E37*GenAssumptions!D52</f>
        <v>25079.600000000002</v>
      </c>
      <c r="J37" s="37">
        <f>F37*GenAssumptions!E52</f>
        <v>25079.600000000002</v>
      </c>
      <c r="K37" s="37">
        <f>G37*GenAssumptions!F52</f>
        <v>25079.600000000002</v>
      </c>
    </row>
    <row r="38" spans="2:11" x14ac:dyDescent="0.35">
      <c r="C38" s="51" t="s">
        <v>98</v>
      </c>
      <c r="D38" s="49"/>
      <c r="E38" s="91">
        <v>1</v>
      </c>
      <c r="F38" s="91">
        <v>1</v>
      </c>
      <c r="G38" s="91">
        <v>1</v>
      </c>
      <c r="H38" s="49"/>
      <c r="I38" s="37">
        <f>E38*GenAssumptions!D53</f>
        <v>15433.6</v>
      </c>
      <c r="J38" s="37">
        <f>F38*GenAssumptions!E53</f>
        <v>15433.6</v>
      </c>
      <c r="K38" s="37">
        <f>G38*GenAssumptions!F53</f>
        <v>15433.6</v>
      </c>
    </row>
    <row r="39" spans="2:11" x14ac:dyDescent="0.35">
      <c r="C39" s="51" t="s">
        <v>99</v>
      </c>
      <c r="D39" s="49"/>
      <c r="E39" s="91">
        <v>1</v>
      </c>
      <c r="F39" s="91">
        <v>1</v>
      </c>
      <c r="G39" s="91">
        <v>1</v>
      </c>
      <c r="H39" s="49"/>
      <c r="I39" s="37">
        <f>E39*GenAssumptions!D54</f>
        <v>12000</v>
      </c>
      <c r="J39" s="37">
        <f>F39*GenAssumptions!E54</f>
        <v>12000</v>
      </c>
      <c r="K39" s="37">
        <f>G39*GenAssumptions!F54</f>
        <v>12000</v>
      </c>
    </row>
    <row r="40" spans="2:11" x14ac:dyDescent="0.35">
      <c r="C40" s="51" t="s">
        <v>100</v>
      </c>
      <c r="D40" s="49"/>
      <c r="E40" s="91">
        <v>1</v>
      </c>
      <c r="F40" s="91">
        <v>1</v>
      </c>
      <c r="G40" s="91">
        <v>1</v>
      </c>
      <c r="H40" s="49"/>
      <c r="I40" s="37">
        <f>E40*GenAssumptions!D55</f>
        <v>55120</v>
      </c>
      <c r="J40" s="37">
        <f>F40*GenAssumptions!E55</f>
        <v>55120</v>
      </c>
      <c r="K40" s="37">
        <f>G40*GenAssumptions!F55</f>
        <v>55120</v>
      </c>
    </row>
    <row r="41" spans="2:11" x14ac:dyDescent="0.35">
      <c r="C41" s="51" t="s">
        <v>101</v>
      </c>
      <c r="D41" s="49"/>
      <c r="E41" s="91">
        <v>33320</v>
      </c>
      <c r="F41" s="91">
        <f>E41*F3</f>
        <v>49980</v>
      </c>
      <c r="G41" s="91">
        <f>E41*G3</f>
        <v>66640</v>
      </c>
      <c r="H41" s="49"/>
      <c r="I41" s="37">
        <f>E41*GenAssumptions!D56</f>
        <v>105957.6</v>
      </c>
      <c r="J41" s="37">
        <f>F41*GenAssumptions!E56</f>
        <v>158936.4</v>
      </c>
      <c r="K41" s="37">
        <f>G41*GenAssumptions!F56</f>
        <v>211915.2</v>
      </c>
    </row>
    <row r="42" spans="2:11" x14ac:dyDescent="0.35">
      <c r="C42" s="51" t="s">
        <v>102</v>
      </c>
      <c r="D42" s="49"/>
      <c r="E42" s="91">
        <v>1</v>
      </c>
      <c r="F42" s="91">
        <v>1</v>
      </c>
      <c r="G42" s="91">
        <v>1</v>
      </c>
      <c r="H42" s="49"/>
      <c r="I42" s="37">
        <f>E42*GenAssumptions!D57</f>
        <v>100000</v>
      </c>
      <c r="J42" s="37">
        <f>F42*GenAssumptions!E57</f>
        <v>100000</v>
      </c>
      <c r="K42" s="37">
        <f>G42*GenAssumptions!F57</f>
        <v>100000</v>
      </c>
    </row>
    <row r="44" spans="2:11" x14ac:dyDescent="0.35">
      <c r="C44" s="51" t="s">
        <v>159</v>
      </c>
      <c r="D44" s="100" t="s">
        <v>160</v>
      </c>
      <c r="E44" s="67">
        <v>0.15</v>
      </c>
      <c r="F44" s="67">
        <v>0.15</v>
      </c>
      <c r="G44" s="67">
        <v>0.15</v>
      </c>
      <c r="I44" s="37">
        <f>I31*E44</f>
        <v>64132.71</v>
      </c>
      <c r="J44" s="37">
        <f>J31*F44</f>
        <v>72079.53</v>
      </c>
      <c r="K44" s="37">
        <f>K31*G44</f>
        <v>80026.349999999991</v>
      </c>
    </row>
    <row r="46" spans="2:11" x14ac:dyDescent="0.35">
      <c r="B46" s="56"/>
      <c r="C46" s="56"/>
      <c r="D46" s="56"/>
      <c r="E46" s="56"/>
      <c r="F46" s="56"/>
      <c r="G46" s="56"/>
      <c r="H46" s="58"/>
      <c r="I46" s="56"/>
      <c r="J46" s="56"/>
      <c r="K46" s="56"/>
    </row>
    <row r="47" spans="2:11" ht="15" thickBot="1" x14ac:dyDescent="0.4">
      <c r="B47" s="61" t="s">
        <v>162</v>
      </c>
      <c r="C47" s="60" t="s">
        <v>163</v>
      </c>
      <c r="I47" s="82">
        <f>I50+I51</f>
        <v>210000</v>
      </c>
      <c r="J47" s="82">
        <f>J50+J51</f>
        <v>315000</v>
      </c>
      <c r="K47" s="82">
        <f>K50+K51</f>
        <v>420000</v>
      </c>
    </row>
    <row r="48" spans="2:11" ht="15" thickTop="1" x14ac:dyDescent="0.35"/>
    <row r="49" spans="3:11" x14ac:dyDescent="0.35">
      <c r="C49" s="51" t="s">
        <v>164</v>
      </c>
      <c r="E49" s="60"/>
      <c r="F49" s="60"/>
      <c r="G49" s="60"/>
      <c r="H49" s="61"/>
    </row>
    <row r="50" spans="3:11" x14ac:dyDescent="0.35">
      <c r="C50" s="105" t="s">
        <v>157</v>
      </c>
      <c r="D50" s="100" t="s">
        <v>157</v>
      </c>
      <c r="E50" s="37">
        <f>E21</f>
        <v>3</v>
      </c>
      <c r="F50" s="37">
        <f>F21</f>
        <v>4.5</v>
      </c>
      <c r="G50" s="37">
        <f>G21</f>
        <v>6</v>
      </c>
      <c r="I50" s="37">
        <f>E50*GenAssumptions!D62</f>
        <v>180000</v>
      </c>
      <c r="J50" s="37">
        <f>F50*GenAssumptions!E62</f>
        <v>270000</v>
      </c>
      <c r="K50" s="37">
        <f>G50*GenAssumptions!F62</f>
        <v>360000</v>
      </c>
    </row>
    <row r="51" spans="3:11" x14ac:dyDescent="0.35">
      <c r="C51" s="105" t="s">
        <v>165</v>
      </c>
      <c r="D51" s="100" t="s">
        <v>160</v>
      </c>
      <c r="E51" s="37">
        <f>E50</f>
        <v>3</v>
      </c>
      <c r="F51" s="37">
        <f t="shared" ref="F51:G51" si="7">F50</f>
        <v>4.5</v>
      </c>
      <c r="G51" s="37">
        <f t="shared" si="7"/>
        <v>6</v>
      </c>
      <c r="I51" s="37">
        <f>E51*GenAssumptions!D63</f>
        <v>30000</v>
      </c>
      <c r="J51" s="37">
        <f>F51*GenAssumptions!E63</f>
        <v>45000</v>
      </c>
      <c r="K51" s="37">
        <f>G51*GenAssumptions!F63</f>
        <v>60000</v>
      </c>
    </row>
    <row r="53" spans="3:11" x14ac:dyDescent="0.35">
      <c r="C53" s="51"/>
    </row>
    <row r="54" spans="3:11" x14ac:dyDescent="0.35">
      <c r="C54" s="51"/>
    </row>
    <row r="55" spans="3:11" x14ac:dyDescent="0.35">
      <c r="C55" s="51"/>
    </row>
  </sheetData>
  <mergeCells count="4">
    <mergeCell ref="M1:T1"/>
    <mergeCell ref="N2:T3"/>
    <mergeCell ref="M4:M7"/>
    <mergeCell ref="N4:T7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23CCA-0843-4A0B-A2CB-71AA15B5C95A}">
  <sheetPr>
    <tabColor theme="6"/>
  </sheetPr>
  <dimension ref="A1:T108"/>
  <sheetViews>
    <sheetView showGridLines="0" workbookViewId="0">
      <selection activeCell="N97" sqref="N97"/>
    </sheetView>
  </sheetViews>
  <sheetFormatPr defaultRowHeight="14.5" x14ac:dyDescent="0.35"/>
  <cols>
    <col min="1" max="1" width="1.36328125" customWidth="1"/>
    <col min="2" max="2" width="2.453125" customWidth="1"/>
    <col min="3" max="3" width="33.08984375" customWidth="1"/>
    <col min="4" max="4" width="7" customWidth="1"/>
    <col min="5" max="5" width="11" customWidth="1"/>
    <col min="6" max="6" width="12.08984375" customWidth="1"/>
    <col min="7" max="7" width="12.453125" customWidth="1"/>
    <col min="8" max="8" width="0.81640625" customWidth="1"/>
    <col min="9" max="9" width="12.6328125" customWidth="1"/>
    <col min="10" max="10" width="13.36328125" customWidth="1"/>
    <col min="11" max="11" width="13.81640625" customWidth="1"/>
    <col min="12" max="12" width="8.7265625" customWidth="1"/>
  </cols>
  <sheetData>
    <row r="1" spans="1:11" x14ac:dyDescent="0.35">
      <c r="A1" s="28"/>
      <c r="B1" s="56"/>
      <c r="C1" s="56"/>
      <c r="D1" s="146"/>
      <c r="E1" s="56" t="s">
        <v>28</v>
      </c>
      <c r="F1" s="56"/>
      <c r="G1" s="56"/>
      <c r="H1" s="119"/>
      <c r="I1" s="146" t="s">
        <v>17</v>
      </c>
      <c r="J1" s="56"/>
      <c r="K1" s="146"/>
    </row>
    <row r="2" spans="1:11" x14ac:dyDescent="0.35">
      <c r="A2" s="29"/>
      <c r="B2" s="29"/>
      <c r="C2" s="29"/>
      <c r="D2" s="30"/>
      <c r="E2" s="140" t="s">
        <v>18</v>
      </c>
      <c r="F2" s="102" t="s">
        <v>19</v>
      </c>
      <c r="G2" s="143" t="s">
        <v>20</v>
      </c>
      <c r="H2" s="111"/>
      <c r="I2" s="140" t="s">
        <v>18</v>
      </c>
      <c r="J2" s="102" t="s">
        <v>19</v>
      </c>
      <c r="K2" s="143" t="s">
        <v>20</v>
      </c>
    </row>
    <row r="3" spans="1:11" x14ac:dyDescent="0.35">
      <c r="A3" s="29"/>
      <c r="B3" s="29"/>
      <c r="C3" s="29"/>
      <c r="D3" s="30"/>
      <c r="E3" s="141">
        <v>1</v>
      </c>
      <c r="F3" s="103">
        <v>1.5</v>
      </c>
      <c r="G3" s="144">
        <v>2</v>
      </c>
      <c r="H3" s="111"/>
      <c r="I3" s="141">
        <v>1</v>
      </c>
      <c r="J3" s="103">
        <v>1.5</v>
      </c>
      <c r="K3" s="144">
        <v>2</v>
      </c>
    </row>
    <row r="4" spans="1:11" ht="15" thickBot="1" x14ac:dyDescent="0.4">
      <c r="A4" s="31"/>
      <c r="B4" s="39"/>
      <c r="C4" s="39"/>
      <c r="D4" s="40"/>
      <c r="E4" s="142" t="s">
        <v>105</v>
      </c>
      <c r="F4" s="104" t="s">
        <v>22</v>
      </c>
      <c r="G4" s="145" t="s">
        <v>21</v>
      </c>
      <c r="H4" s="120"/>
      <c r="I4" s="142" t="s">
        <v>105</v>
      </c>
      <c r="J4" s="104" t="s">
        <v>22</v>
      </c>
      <c r="K4" s="145" t="s">
        <v>21</v>
      </c>
    </row>
    <row r="5" spans="1:11" ht="15.5" thickTop="1" thickBot="1" x14ac:dyDescent="0.4">
      <c r="A5" s="28"/>
      <c r="B5" s="53" t="s">
        <v>129</v>
      </c>
      <c r="C5" s="53"/>
      <c r="D5" s="28"/>
      <c r="E5" s="28"/>
      <c r="F5" s="28"/>
      <c r="G5" s="28"/>
      <c r="H5" s="28"/>
      <c r="I5" s="82">
        <f>SUM(I6:I11)</f>
        <v>427551.4</v>
      </c>
      <c r="J5" s="82">
        <f>SUM(J6:J11)</f>
        <v>533509</v>
      </c>
      <c r="K5" s="82">
        <f t="shared" ref="K5" si="0">SUM(K6:K11)</f>
        <v>533509</v>
      </c>
    </row>
    <row r="6" spans="1:11" ht="15" thickTop="1" x14ac:dyDescent="0.35">
      <c r="A6" s="32"/>
      <c r="B6" s="53"/>
      <c r="C6" s="36" t="str">
        <f>C24</f>
        <v>Club member training</v>
      </c>
      <c r="D6" s="28"/>
      <c r="E6" s="28"/>
      <c r="F6" s="28"/>
      <c r="G6" s="28"/>
      <c r="H6" s="59"/>
      <c r="I6" s="37">
        <v>0</v>
      </c>
      <c r="J6" s="37">
        <v>0</v>
      </c>
      <c r="K6" s="37">
        <v>0</v>
      </c>
    </row>
    <row r="7" spans="1:11" x14ac:dyDescent="0.35">
      <c r="A7" s="32"/>
      <c r="B7" s="53"/>
      <c r="C7" s="36" t="str">
        <f>C39</f>
        <v>Club mentor training (fieldworker training)</v>
      </c>
      <c r="D7" s="28"/>
      <c r="E7" s="28"/>
      <c r="F7" s="28"/>
      <c r="G7" s="28"/>
      <c r="H7" s="59"/>
      <c r="I7" s="37">
        <v>0</v>
      </c>
      <c r="J7" s="37">
        <v>0</v>
      </c>
      <c r="K7" s="37">
        <v>0</v>
      </c>
    </row>
    <row r="8" spans="1:11" x14ac:dyDescent="0.35">
      <c r="A8" s="32"/>
      <c r="B8" s="53"/>
      <c r="C8" s="36" t="str">
        <f>C51</f>
        <v>Provincial Meeting/Congress</v>
      </c>
      <c r="D8" s="28"/>
      <c r="E8" s="28"/>
      <c r="F8" s="28"/>
      <c r="G8" s="28"/>
      <c r="H8" s="59"/>
      <c r="I8" s="37">
        <v>0</v>
      </c>
      <c r="J8" s="37">
        <v>0</v>
      </c>
      <c r="K8" s="37">
        <v>0</v>
      </c>
    </row>
    <row r="9" spans="1:11" x14ac:dyDescent="0.35">
      <c r="A9" s="32"/>
      <c r="B9" s="53"/>
      <c r="C9" s="36" t="str">
        <f>C65</f>
        <v>District congress</v>
      </c>
      <c r="D9" s="28"/>
      <c r="E9" s="28"/>
      <c r="F9" s="28"/>
      <c r="G9" s="28"/>
      <c r="H9" s="59"/>
      <c r="I9" s="37">
        <v>0</v>
      </c>
      <c r="J9" s="37">
        <v>0</v>
      </c>
      <c r="K9" s="37">
        <v>0</v>
      </c>
    </row>
    <row r="10" spans="1:11" x14ac:dyDescent="0.35">
      <c r="A10" s="32"/>
      <c r="B10" s="53"/>
      <c r="C10" s="36" t="str">
        <f>C82</f>
        <v>National congress</v>
      </c>
      <c r="D10" s="28"/>
      <c r="E10" s="28"/>
      <c r="F10" s="28"/>
      <c r="G10" s="28"/>
      <c r="H10" s="59"/>
      <c r="I10" s="37">
        <v>0</v>
      </c>
      <c r="J10" s="37">
        <v>0</v>
      </c>
      <c r="K10" s="37">
        <v>0</v>
      </c>
    </row>
    <row r="11" spans="1:11" x14ac:dyDescent="0.35">
      <c r="A11" s="32"/>
      <c r="B11" s="53"/>
      <c r="C11" s="36" t="s">
        <v>168</v>
      </c>
      <c r="D11" s="28"/>
      <c r="E11" s="28"/>
      <c r="F11" s="28"/>
      <c r="G11" s="28"/>
      <c r="H11" s="59"/>
      <c r="I11" s="93">
        <f>I96</f>
        <v>427551.4</v>
      </c>
      <c r="J11" s="93">
        <f>J96</f>
        <v>533509</v>
      </c>
      <c r="K11" s="93">
        <f t="shared" ref="K11" si="1">K96</f>
        <v>533509</v>
      </c>
    </row>
    <row r="12" spans="1:11" x14ac:dyDescent="0.35">
      <c r="A12" s="32"/>
      <c r="B12" s="53"/>
      <c r="C12" s="36"/>
      <c r="D12" s="28"/>
      <c r="E12" s="28"/>
      <c r="F12" s="28"/>
      <c r="G12" s="28"/>
      <c r="H12" s="59"/>
    </row>
    <row r="13" spans="1:11" ht="15" thickBot="1" x14ac:dyDescent="0.4">
      <c r="A13" s="32"/>
      <c r="B13" s="53" t="s">
        <v>130</v>
      </c>
      <c r="C13" s="53"/>
      <c r="D13" s="28"/>
      <c r="E13" s="28"/>
      <c r="F13" s="28"/>
      <c r="G13" s="28"/>
      <c r="H13" s="59"/>
      <c r="I13" s="82">
        <f>SUM(I14:I19)</f>
        <v>6763318.043333333</v>
      </c>
      <c r="J13" s="82">
        <f>SUM(J14:J19)</f>
        <v>10236615.85</v>
      </c>
      <c r="K13" s="82">
        <f t="shared" ref="K13" si="2">SUM(K14:K19)</f>
        <v>14272661.016666668</v>
      </c>
    </row>
    <row r="14" spans="1:11" ht="15" thickTop="1" x14ac:dyDescent="0.35">
      <c r="A14" s="32"/>
      <c r="B14" s="28"/>
      <c r="C14" s="36" t="str">
        <f>C24</f>
        <v>Club member training</v>
      </c>
      <c r="D14" s="28"/>
      <c r="E14" s="28"/>
      <c r="F14" s="28"/>
      <c r="G14" s="28"/>
      <c r="H14" s="59"/>
      <c r="I14" s="93">
        <f>I24</f>
        <v>1908150</v>
      </c>
      <c r="J14" s="93">
        <f>J24</f>
        <v>2441025</v>
      </c>
      <c r="K14" s="93">
        <f>K24</f>
        <v>2973900</v>
      </c>
    </row>
    <row r="15" spans="1:11" x14ac:dyDescent="0.35">
      <c r="A15" s="32"/>
      <c r="B15" s="28"/>
      <c r="C15" s="36" t="str">
        <f>C39</f>
        <v>Club mentor training (fieldworker training)</v>
      </c>
      <c r="D15" s="28"/>
      <c r="E15" s="28"/>
      <c r="F15" s="28"/>
      <c r="G15" s="28"/>
      <c r="H15" s="59"/>
      <c r="I15" s="93">
        <f>I39</f>
        <v>63000</v>
      </c>
      <c r="J15" s="93">
        <f>J39</f>
        <v>71100</v>
      </c>
      <c r="K15" s="93">
        <f>K39</f>
        <v>79200</v>
      </c>
    </row>
    <row r="16" spans="1:11" x14ac:dyDescent="0.35">
      <c r="A16" s="32"/>
      <c r="B16" s="28"/>
      <c r="C16" s="36" t="str">
        <f>C51</f>
        <v>Provincial Meeting/Congress</v>
      </c>
      <c r="D16" s="28"/>
      <c r="E16" s="28"/>
      <c r="F16" s="28"/>
      <c r="G16" s="28"/>
      <c r="H16" s="59"/>
      <c r="I16" s="93">
        <f>I51</f>
        <v>1017180</v>
      </c>
      <c r="J16" s="93">
        <f>J51</f>
        <v>1316070</v>
      </c>
      <c r="K16" s="93">
        <f>K51</f>
        <v>1614960</v>
      </c>
    </row>
    <row r="17" spans="1:20" x14ac:dyDescent="0.35">
      <c r="A17" s="28"/>
      <c r="B17" s="28"/>
      <c r="C17" s="36" t="str">
        <f>C65</f>
        <v>District congress</v>
      </c>
      <c r="D17" s="28"/>
      <c r="E17" s="59"/>
      <c r="F17" s="59"/>
      <c r="G17" s="59"/>
      <c r="H17" s="59"/>
      <c r="I17" s="93">
        <f>I65</f>
        <v>1698815.3333333333</v>
      </c>
      <c r="J17" s="93">
        <f>J65</f>
        <v>3410834.5000000009</v>
      </c>
      <c r="K17" s="93">
        <f>K65</f>
        <v>5701494.666666667</v>
      </c>
    </row>
    <row r="18" spans="1:20" x14ac:dyDescent="0.35">
      <c r="A18" s="28"/>
      <c r="B18" s="28"/>
      <c r="C18" s="36" t="str">
        <f>C82</f>
        <v>National congress</v>
      </c>
      <c r="D18" s="28"/>
      <c r="E18" s="59"/>
      <c r="F18" s="59"/>
      <c r="G18" s="59"/>
      <c r="H18" s="59"/>
      <c r="I18" s="93">
        <f>I82</f>
        <v>2012040</v>
      </c>
      <c r="J18" s="93">
        <f>J82</f>
        <v>2917560</v>
      </c>
      <c r="K18" s="93">
        <f t="shared" ref="K18" si="3">K82</f>
        <v>3823080</v>
      </c>
    </row>
    <row r="19" spans="1:20" x14ac:dyDescent="0.35">
      <c r="A19" s="28"/>
      <c r="B19" s="28"/>
      <c r="C19" s="36" t="s">
        <v>168</v>
      </c>
      <c r="D19" s="28"/>
      <c r="E19" s="59"/>
      <c r="F19" s="59"/>
      <c r="G19" s="59"/>
      <c r="H19" s="59"/>
      <c r="I19" s="93">
        <f>I108</f>
        <v>64132.71</v>
      </c>
      <c r="J19" s="93">
        <f>J108</f>
        <v>80026.349999999991</v>
      </c>
      <c r="K19" s="93">
        <f t="shared" ref="K19" si="4">K108</f>
        <v>80026.349999999991</v>
      </c>
    </row>
    <row r="20" spans="1:20" x14ac:dyDescent="0.35">
      <c r="A20" s="28"/>
      <c r="B20" s="28"/>
      <c r="C20" s="36"/>
      <c r="D20" s="28"/>
      <c r="E20" s="59"/>
      <c r="F20" s="59"/>
      <c r="G20" s="59"/>
      <c r="H20" s="59"/>
      <c r="I20" s="88"/>
      <c r="J20" s="88"/>
      <c r="K20" s="88"/>
    </row>
    <row r="21" spans="1:20" ht="15" thickBot="1" x14ac:dyDescent="0.4">
      <c r="A21" s="28"/>
      <c r="B21" s="107"/>
      <c r="C21" s="108"/>
      <c r="D21" s="113" t="s">
        <v>111</v>
      </c>
      <c r="E21" s="110"/>
      <c r="F21" s="110"/>
      <c r="G21" s="110"/>
      <c r="H21" s="59"/>
      <c r="I21" s="82">
        <f>I5+I13</f>
        <v>7190869.4433333334</v>
      </c>
      <c r="J21" s="82">
        <f>J5+J13</f>
        <v>10770124.85</v>
      </c>
      <c r="K21" s="82">
        <f t="shared" ref="K21" si="5">K5+K13</f>
        <v>14806170.016666668</v>
      </c>
    </row>
    <row r="22" spans="1:20" ht="15" thickTop="1" x14ac:dyDescent="0.35">
      <c r="A22" s="28"/>
      <c r="B22" s="28"/>
      <c r="C22" s="36"/>
      <c r="D22" s="28"/>
      <c r="E22" s="59"/>
      <c r="F22" s="59"/>
      <c r="G22" s="59"/>
      <c r="H22" s="59"/>
      <c r="I22" s="59"/>
      <c r="J22" s="59"/>
      <c r="K22" s="59"/>
    </row>
    <row r="23" spans="1:20" x14ac:dyDescent="0.35">
      <c r="B23" s="56"/>
      <c r="C23" s="56"/>
      <c r="D23" s="56"/>
      <c r="E23" s="56"/>
      <c r="F23" s="56"/>
      <c r="G23" s="56"/>
      <c r="H23" s="58"/>
      <c r="I23" s="56"/>
      <c r="J23" s="56"/>
      <c r="K23" s="56"/>
      <c r="M23" s="159" t="s">
        <v>30</v>
      </c>
      <c r="N23" s="159"/>
      <c r="O23" s="159"/>
      <c r="P23" s="159"/>
      <c r="Q23" s="159"/>
      <c r="R23" s="159"/>
      <c r="S23" s="159"/>
      <c r="T23" s="160"/>
    </row>
    <row r="24" spans="1:20" ht="14.5" customHeight="1" thickBot="1" x14ac:dyDescent="0.4">
      <c r="B24" s="61">
        <v>1</v>
      </c>
      <c r="C24" s="60" t="s">
        <v>0</v>
      </c>
      <c r="D24" s="60"/>
      <c r="E24" s="60"/>
      <c r="F24" s="60"/>
      <c r="G24" s="60"/>
      <c r="H24" s="60"/>
      <c r="I24" s="82">
        <f>SUM(I30:I36)</f>
        <v>1908150</v>
      </c>
      <c r="J24" s="82">
        <f>SUM(J30:J36)</f>
        <v>2441025</v>
      </c>
      <c r="K24" s="82">
        <f>SUM(K30:K36)</f>
        <v>2973900</v>
      </c>
      <c r="M24" s="130"/>
      <c r="N24" s="153" t="s">
        <v>192</v>
      </c>
      <c r="O24" s="154"/>
      <c r="P24" s="154"/>
      <c r="Q24" s="154"/>
      <c r="R24" s="154"/>
      <c r="S24" s="154"/>
      <c r="T24" s="155"/>
    </row>
    <row r="25" spans="1:20" ht="14.5" customHeight="1" thickTop="1" x14ac:dyDescent="0.35">
      <c r="B25" s="61"/>
      <c r="C25" s="36" t="s">
        <v>68</v>
      </c>
      <c r="D25" s="60"/>
      <c r="E25" s="66">
        <v>1</v>
      </c>
      <c r="F25" s="66">
        <v>1</v>
      </c>
      <c r="G25" s="66">
        <v>1</v>
      </c>
      <c r="H25" s="60"/>
      <c r="I25" s="88"/>
      <c r="J25" s="88"/>
      <c r="K25" s="88"/>
      <c r="M25" s="131"/>
      <c r="N25" s="156"/>
      <c r="O25" s="157"/>
      <c r="P25" s="157"/>
      <c r="Q25" s="157"/>
      <c r="R25" s="157"/>
      <c r="S25" s="157"/>
      <c r="T25" s="158"/>
    </row>
    <row r="26" spans="1:20" ht="14.5" customHeight="1" x14ac:dyDescent="0.35">
      <c r="B26" s="61"/>
      <c r="C26" s="36" t="s">
        <v>191</v>
      </c>
      <c r="D26" s="60"/>
      <c r="E26" s="66">
        <v>1</v>
      </c>
      <c r="F26" s="66">
        <v>1</v>
      </c>
      <c r="G26" s="66">
        <v>1</v>
      </c>
      <c r="H26" s="60"/>
      <c r="I26" s="88"/>
      <c r="J26" s="88"/>
      <c r="K26" s="88"/>
      <c r="M26" s="170"/>
      <c r="N26" s="161" t="s">
        <v>31</v>
      </c>
      <c r="O26" s="162"/>
      <c r="P26" s="162"/>
      <c r="Q26" s="162"/>
      <c r="R26" s="162"/>
      <c r="S26" s="162"/>
      <c r="T26" s="163"/>
    </row>
    <row r="27" spans="1:20" ht="14.5" customHeight="1" x14ac:dyDescent="0.35">
      <c r="B27" s="61"/>
      <c r="C27" s="36" t="s">
        <v>145</v>
      </c>
      <c r="D27" s="60"/>
      <c r="E27" s="37">
        <f>Summary!I18</f>
        <v>490</v>
      </c>
      <c r="F27" s="37">
        <f>Summary!J18</f>
        <v>735</v>
      </c>
      <c r="G27" s="37">
        <f>Summary!K18</f>
        <v>980</v>
      </c>
      <c r="H27" s="60"/>
      <c r="I27" s="88"/>
      <c r="J27" s="88"/>
      <c r="K27" s="88"/>
      <c r="M27" s="171"/>
      <c r="N27" s="164"/>
      <c r="O27" s="165"/>
      <c r="P27" s="165"/>
      <c r="Q27" s="165"/>
      <c r="R27" s="165"/>
      <c r="S27" s="165"/>
      <c r="T27" s="166"/>
    </row>
    <row r="28" spans="1:20" ht="14.5" customHeight="1" x14ac:dyDescent="0.35">
      <c r="B28" s="61"/>
      <c r="C28" s="36" t="s">
        <v>188</v>
      </c>
      <c r="D28" s="60"/>
      <c r="E28" s="65">
        <v>3</v>
      </c>
      <c r="F28" s="65">
        <v>3</v>
      </c>
      <c r="G28" s="65">
        <v>3</v>
      </c>
      <c r="H28" s="60"/>
      <c r="I28" s="88"/>
      <c r="J28" s="88"/>
      <c r="K28" s="88"/>
      <c r="M28" s="171"/>
      <c r="N28" s="164"/>
      <c r="O28" s="165"/>
      <c r="P28" s="165"/>
      <c r="Q28" s="165"/>
      <c r="R28" s="165"/>
      <c r="S28" s="165"/>
      <c r="T28" s="166"/>
    </row>
    <row r="29" spans="1:20" ht="14.5" customHeight="1" x14ac:dyDescent="0.35">
      <c r="B29" s="61"/>
      <c r="C29" s="36" t="s">
        <v>65</v>
      </c>
      <c r="D29" s="60"/>
      <c r="E29" s="37">
        <f>E27*E28</f>
        <v>1470</v>
      </c>
      <c r="F29" s="37">
        <f>F27*F28</f>
        <v>2205</v>
      </c>
      <c r="G29" s="37">
        <f t="shared" ref="G29" si="6">G27*G28</f>
        <v>2940</v>
      </c>
      <c r="H29" s="60"/>
      <c r="I29" s="88"/>
      <c r="J29" s="88"/>
      <c r="K29" s="88"/>
      <c r="M29" s="172"/>
      <c r="N29" s="167"/>
      <c r="O29" s="168"/>
      <c r="P29" s="168"/>
      <c r="Q29" s="168"/>
      <c r="R29" s="168"/>
      <c r="S29" s="168"/>
      <c r="T29" s="169"/>
    </row>
    <row r="30" spans="1:20" x14ac:dyDescent="0.35">
      <c r="C30" s="36" t="s">
        <v>51</v>
      </c>
      <c r="E30" s="85">
        <f>E29</f>
        <v>1470</v>
      </c>
      <c r="F30" s="85">
        <f>F29</f>
        <v>2205</v>
      </c>
      <c r="G30" s="85">
        <f t="shared" ref="G30" si="7">G29</f>
        <v>2940</v>
      </c>
      <c r="H30" s="38"/>
      <c r="I30" s="37">
        <f>E30*GenAssumptions!D17</f>
        <v>735000</v>
      </c>
      <c r="J30" s="37">
        <f>F30*GenAssumptions!E17</f>
        <v>1102500</v>
      </c>
      <c r="K30" s="37">
        <f>G30*GenAssumptions!F17</f>
        <v>1470000</v>
      </c>
      <c r="L30" s="43"/>
      <c r="M30" s="43"/>
    </row>
    <row r="31" spans="1:20" x14ac:dyDescent="0.35">
      <c r="C31" s="36" t="s">
        <v>189</v>
      </c>
      <c r="E31" s="85">
        <f>8*Summary!I17</f>
        <v>72</v>
      </c>
      <c r="F31" s="85">
        <f>8*Summary!J17</f>
        <v>72</v>
      </c>
      <c r="G31" s="85">
        <f>8*Summary!K17</f>
        <v>72</v>
      </c>
      <c r="H31" s="38"/>
      <c r="I31" s="59"/>
      <c r="J31" s="59"/>
      <c r="K31" s="59"/>
      <c r="L31" s="43" t="s">
        <v>190</v>
      </c>
      <c r="M31" s="43"/>
    </row>
    <row r="32" spans="1:20" x14ac:dyDescent="0.35">
      <c r="C32" s="36" t="s">
        <v>63</v>
      </c>
      <c r="E32" s="37">
        <f>E31*E25</f>
        <v>72</v>
      </c>
      <c r="F32" s="37">
        <f>F31*F25</f>
        <v>72</v>
      </c>
      <c r="G32" s="37">
        <f t="shared" ref="G32" si="8">G31*G25</f>
        <v>72</v>
      </c>
      <c r="H32" s="38"/>
      <c r="I32" s="37">
        <f>GenAssumptions!D16*E32</f>
        <v>86400</v>
      </c>
      <c r="J32" s="37">
        <f>GenAssumptions!E16*F32</f>
        <v>86400</v>
      </c>
      <c r="K32" s="37">
        <f>GenAssumptions!F16*G32</f>
        <v>86400</v>
      </c>
      <c r="L32" s="36"/>
    </row>
    <row r="33" spans="2:13" x14ac:dyDescent="0.35">
      <c r="C33" s="36" t="s">
        <v>113</v>
      </c>
      <c r="D33" s="49"/>
      <c r="E33" s="37">
        <f>E25*E31</f>
        <v>72</v>
      </c>
      <c r="F33" s="37">
        <f>F25*F31</f>
        <v>72</v>
      </c>
      <c r="G33" s="37">
        <f t="shared" ref="G33" si="9">G25*G31</f>
        <v>72</v>
      </c>
      <c r="H33" s="49"/>
      <c r="I33" s="37">
        <f>E33*GenAssumptions!D24</f>
        <v>720000</v>
      </c>
      <c r="J33" s="37">
        <f>F33*GenAssumptions!E24</f>
        <v>720000</v>
      </c>
      <c r="K33" s="37">
        <f>G33*GenAssumptions!F24</f>
        <v>720000</v>
      </c>
      <c r="L33" s="36"/>
    </row>
    <row r="34" spans="2:13" x14ac:dyDescent="0.35">
      <c r="C34" s="36" t="s">
        <v>3</v>
      </c>
      <c r="D34" s="49"/>
      <c r="E34" s="37">
        <f>E29</f>
        <v>1470</v>
      </c>
      <c r="F34" s="37">
        <f>F30</f>
        <v>2205</v>
      </c>
      <c r="G34" s="37">
        <f>G30</f>
        <v>2940</v>
      </c>
      <c r="H34" s="49"/>
      <c r="I34" s="37">
        <f>E34*GenAssumptions!D27</f>
        <v>220500</v>
      </c>
      <c r="J34" s="37">
        <f>F34*GenAssumptions!E27</f>
        <v>330750</v>
      </c>
      <c r="K34" s="37">
        <f>G34*GenAssumptions!F27</f>
        <v>441000</v>
      </c>
      <c r="L34" s="36"/>
    </row>
    <row r="35" spans="2:13" x14ac:dyDescent="0.35">
      <c r="C35" s="36" t="s">
        <v>69</v>
      </c>
      <c r="D35" s="49"/>
      <c r="E35" s="66">
        <f>E26*E31</f>
        <v>72</v>
      </c>
      <c r="F35" s="66">
        <f>F26*F31</f>
        <v>72</v>
      </c>
      <c r="G35" s="66">
        <f>G26*G31</f>
        <v>72</v>
      </c>
      <c r="H35" s="49"/>
      <c r="I35" s="37">
        <f>E35*GenAssumptions!D18</f>
        <v>36000</v>
      </c>
      <c r="J35" s="37">
        <f>F35*GenAssumptions!E18</f>
        <v>36000</v>
      </c>
      <c r="K35" s="37">
        <f>G35*GenAssumptions!F18</f>
        <v>36000</v>
      </c>
      <c r="L35" s="36"/>
    </row>
    <row r="36" spans="2:13" x14ac:dyDescent="0.35">
      <c r="C36" s="36" t="s">
        <v>71</v>
      </c>
      <c r="D36" s="49"/>
      <c r="E36" s="37">
        <f>E30</f>
        <v>1470</v>
      </c>
      <c r="F36" s="37">
        <f>F30</f>
        <v>2205</v>
      </c>
      <c r="G36" s="37">
        <f>G30</f>
        <v>2940</v>
      </c>
      <c r="H36" s="49"/>
      <c r="I36" s="37">
        <f>E36*GenAssumptions!D28</f>
        <v>110250</v>
      </c>
      <c r="J36" s="37">
        <f>F36*GenAssumptions!E28</f>
        <v>165375</v>
      </c>
      <c r="K36" s="37">
        <f>G36*GenAssumptions!F28</f>
        <v>220500</v>
      </c>
      <c r="L36" s="36"/>
    </row>
    <row r="37" spans="2:13" x14ac:dyDescent="0.35">
      <c r="L37" s="36"/>
    </row>
    <row r="38" spans="2:13" x14ac:dyDescent="0.35">
      <c r="B38" s="56"/>
      <c r="C38" s="56"/>
      <c r="D38" s="56"/>
      <c r="E38" s="56"/>
      <c r="F38" s="56"/>
      <c r="G38" s="56"/>
      <c r="H38" s="58"/>
      <c r="I38" s="56"/>
      <c r="J38" s="56"/>
      <c r="K38" s="56"/>
    </row>
    <row r="39" spans="2:13" ht="15" thickBot="1" x14ac:dyDescent="0.4">
      <c r="B39" s="61">
        <v>2</v>
      </c>
      <c r="C39" s="60" t="s">
        <v>1</v>
      </c>
      <c r="D39" s="60"/>
      <c r="E39" s="60"/>
      <c r="F39" s="60"/>
      <c r="G39" s="60"/>
      <c r="H39" s="60"/>
      <c r="I39" s="82">
        <f>SUM(I43:I47)</f>
        <v>63000</v>
      </c>
      <c r="J39" s="82">
        <f>SUM(J43:J47)</f>
        <v>71100</v>
      </c>
      <c r="K39" s="82">
        <f>SUM(K43:K47)</f>
        <v>79200</v>
      </c>
    </row>
    <row r="40" spans="2:13" ht="15" thickTop="1" x14ac:dyDescent="0.35">
      <c r="B40" s="68"/>
      <c r="C40" s="69" t="s">
        <v>114</v>
      </c>
      <c r="D40" s="69"/>
      <c r="E40" s="70"/>
      <c r="F40" s="70"/>
      <c r="G40" s="70"/>
      <c r="H40" s="62"/>
      <c r="I40" s="70"/>
      <c r="J40" s="70"/>
      <c r="K40" s="70"/>
      <c r="L40" s="36"/>
    </row>
    <row r="41" spans="2:13" x14ac:dyDescent="0.35">
      <c r="C41" s="51" t="s">
        <v>68</v>
      </c>
      <c r="D41" s="49"/>
      <c r="E41" s="66">
        <v>4</v>
      </c>
      <c r="F41" s="66">
        <v>4</v>
      </c>
      <c r="G41" s="66">
        <v>4</v>
      </c>
      <c r="H41" s="62"/>
      <c r="I41" s="63"/>
      <c r="J41" s="63"/>
      <c r="K41" s="63"/>
      <c r="L41" s="36"/>
    </row>
    <row r="42" spans="2:13" x14ac:dyDescent="0.35">
      <c r="C42" s="51" t="s">
        <v>65</v>
      </c>
      <c r="D42" s="49"/>
      <c r="E42" s="66">
        <v>24</v>
      </c>
      <c r="F42" s="37">
        <f>E42*F3</f>
        <v>36</v>
      </c>
      <c r="G42" s="37">
        <f>E42*G3</f>
        <v>48</v>
      </c>
      <c r="H42" s="62"/>
      <c r="I42" s="63"/>
      <c r="J42" s="63"/>
      <c r="K42" s="63"/>
      <c r="L42" s="43"/>
      <c r="M42" s="43"/>
    </row>
    <row r="43" spans="2:13" x14ac:dyDescent="0.35">
      <c r="C43" s="51" t="s">
        <v>113</v>
      </c>
      <c r="D43" s="49"/>
      <c r="E43" s="66">
        <f>E41</f>
        <v>4</v>
      </c>
      <c r="F43" s="66">
        <f>F41</f>
        <v>4</v>
      </c>
      <c r="G43" s="66">
        <f t="shared" ref="G43" si="10">G41</f>
        <v>4</v>
      </c>
      <c r="H43" s="49"/>
      <c r="I43" s="37">
        <f>E43*GenAssumptions!D24</f>
        <v>40000</v>
      </c>
      <c r="J43" s="37">
        <f>F43*GenAssumptions!E24</f>
        <v>40000</v>
      </c>
      <c r="K43" s="37">
        <f>G43*GenAssumptions!F24</f>
        <v>40000</v>
      </c>
      <c r="L43" s="43" t="s">
        <v>169</v>
      </c>
    </row>
    <row r="44" spans="2:13" x14ac:dyDescent="0.35">
      <c r="C44" s="51" t="s">
        <v>3</v>
      </c>
      <c r="D44" s="49"/>
      <c r="E44" s="37">
        <f>E41*E42</f>
        <v>96</v>
      </c>
      <c r="F44" s="37">
        <f>F41*F42</f>
        <v>144</v>
      </c>
      <c r="G44" s="37">
        <f>G41*G42</f>
        <v>192</v>
      </c>
      <c r="H44" s="49"/>
      <c r="I44" s="37">
        <f>E44*GenAssumptions!D27</f>
        <v>14400</v>
      </c>
      <c r="J44" s="37">
        <f>F44*GenAssumptions!E27</f>
        <v>21600</v>
      </c>
      <c r="K44" s="37">
        <f>G44*GenAssumptions!F27</f>
        <v>28800</v>
      </c>
      <c r="L44" s="36"/>
    </row>
    <row r="45" spans="2:13" x14ac:dyDescent="0.35">
      <c r="C45" s="51" t="s">
        <v>67</v>
      </c>
      <c r="D45" s="49"/>
      <c r="E45" s="37">
        <f>E41</f>
        <v>4</v>
      </c>
      <c r="F45" s="37">
        <f>F41</f>
        <v>4</v>
      </c>
      <c r="G45" s="37">
        <f>G41</f>
        <v>4</v>
      </c>
      <c r="H45" s="49"/>
      <c r="I45" s="37">
        <f>E45*GenAssumptions!D16</f>
        <v>4800</v>
      </c>
      <c r="J45" s="37">
        <f>F45*GenAssumptions!E16</f>
        <v>4800</v>
      </c>
      <c r="K45" s="37">
        <f>G45*GenAssumptions!F16</f>
        <v>4800</v>
      </c>
      <c r="L45" s="36"/>
    </row>
    <row r="46" spans="2:13" x14ac:dyDescent="0.35">
      <c r="C46" s="51" t="s">
        <v>69</v>
      </c>
      <c r="D46" s="49"/>
      <c r="E46" s="37">
        <f t="shared" ref="E46:G47" si="11">E41</f>
        <v>4</v>
      </c>
      <c r="F46" s="37">
        <f t="shared" si="11"/>
        <v>4</v>
      </c>
      <c r="G46" s="37">
        <f t="shared" si="11"/>
        <v>4</v>
      </c>
      <c r="H46" s="49"/>
      <c r="I46" s="37">
        <f>E46*GenAssumptions!D18</f>
        <v>2000</v>
      </c>
      <c r="J46" s="37">
        <f>F46*GenAssumptions!E18</f>
        <v>2000</v>
      </c>
      <c r="K46" s="37">
        <f>G46*GenAssumptions!F18</f>
        <v>2000</v>
      </c>
      <c r="L46" s="36"/>
    </row>
    <row r="47" spans="2:13" x14ac:dyDescent="0.35">
      <c r="C47" s="51" t="s">
        <v>71</v>
      </c>
      <c r="D47" s="49"/>
      <c r="E47" s="37">
        <f t="shared" si="11"/>
        <v>24</v>
      </c>
      <c r="F47" s="37">
        <f t="shared" si="11"/>
        <v>36</v>
      </c>
      <c r="G47" s="37">
        <f t="shared" si="11"/>
        <v>48</v>
      </c>
      <c r="H47" s="49"/>
      <c r="I47" s="37">
        <f>E47*GenAssumptions!D28</f>
        <v>1800</v>
      </c>
      <c r="J47" s="37">
        <f>F47*GenAssumptions!E28</f>
        <v>2700</v>
      </c>
      <c r="K47" s="37">
        <f>G47*GenAssumptions!F28</f>
        <v>3600</v>
      </c>
      <c r="L47" s="36"/>
    </row>
    <row r="48" spans="2:13" x14ac:dyDescent="0.35">
      <c r="C48" s="51" t="s">
        <v>170</v>
      </c>
      <c r="D48" s="49"/>
      <c r="E48" s="37">
        <f>E42*GenAssumptions!D20</f>
        <v>1200</v>
      </c>
      <c r="F48" s="37">
        <f>F42*GenAssumptions!E20</f>
        <v>1800</v>
      </c>
      <c r="G48" s="37">
        <f>G42*GenAssumptions!F20</f>
        <v>2400</v>
      </c>
      <c r="H48" s="49"/>
      <c r="I48" s="37">
        <f>E48*GenAssumptions!D45</f>
        <v>5568</v>
      </c>
      <c r="J48" s="37">
        <f>F48*GenAssumptions!E45</f>
        <v>8352</v>
      </c>
      <c r="K48" s="37">
        <f>G48*GenAssumptions!F45</f>
        <v>11136</v>
      </c>
      <c r="L48" s="36"/>
    </row>
    <row r="49" spans="2:12" x14ac:dyDescent="0.35">
      <c r="I49" s="44"/>
      <c r="J49" s="44"/>
      <c r="K49" s="44"/>
      <c r="L49" s="36"/>
    </row>
    <row r="50" spans="2:12" x14ac:dyDescent="0.35">
      <c r="B50" s="56"/>
      <c r="C50" s="56"/>
      <c r="D50" s="56"/>
      <c r="E50" s="56"/>
      <c r="F50" s="56"/>
      <c r="G50" s="56"/>
      <c r="H50" s="58"/>
      <c r="I50" s="56"/>
      <c r="J50" s="56"/>
      <c r="K50" s="56"/>
      <c r="L50" s="36"/>
    </row>
    <row r="51" spans="2:12" ht="15" thickBot="1" x14ac:dyDescent="0.4">
      <c r="B51" s="61">
        <v>3</v>
      </c>
      <c r="C51" s="60" t="s">
        <v>112</v>
      </c>
      <c r="D51" s="60"/>
      <c r="E51" s="60"/>
      <c r="F51" s="60"/>
      <c r="G51" s="60"/>
      <c r="H51" s="61"/>
      <c r="I51" s="82">
        <f>SUM(I57:I63)</f>
        <v>1017180</v>
      </c>
      <c r="J51" s="82">
        <f>SUM(J57:J63)</f>
        <v>1316070</v>
      </c>
      <c r="K51" s="82">
        <f>SUM(K57:K63)</f>
        <v>1614960</v>
      </c>
    </row>
    <row r="52" spans="2:12" ht="15" thickTop="1" x14ac:dyDescent="0.35">
      <c r="B52" s="61"/>
      <c r="C52" s="51" t="s">
        <v>171</v>
      </c>
      <c r="D52" s="60"/>
      <c r="E52" s="37">
        <f>Summary!I17</f>
        <v>9</v>
      </c>
      <c r="F52" s="37">
        <f>E52</f>
        <v>9</v>
      </c>
      <c r="G52" s="37">
        <f>E52</f>
        <v>9</v>
      </c>
      <c r="H52" s="61"/>
      <c r="I52" s="114"/>
      <c r="J52" s="114"/>
      <c r="K52" s="114"/>
    </row>
    <row r="53" spans="2:12" x14ac:dyDescent="0.35">
      <c r="C53" s="51" t="s">
        <v>76</v>
      </c>
      <c r="D53" s="49"/>
      <c r="E53" s="66">
        <v>2</v>
      </c>
      <c r="F53" s="66">
        <v>2</v>
      </c>
      <c r="G53" s="66">
        <v>2</v>
      </c>
      <c r="H53" s="62"/>
      <c r="I53" s="63"/>
      <c r="J53" s="63"/>
      <c r="K53" s="63"/>
    </row>
    <row r="54" spans="2:12" x14ac:dyDescent="0.35">
      <c r="C54" s="51" t="s">
        <v>68</v>
      </c>
      <c r="D54" s="49"/>
      <c r="E54" s="66">
        <v>3</v>
      </c>
      <c r="F54" s="66">
        <v>3</v>
      </c>
      <c r="G54" s="66">
        <v>3</v>
      </c>
      <c r="H54" s="62">
        <v>3</v>
      </c>
      <c r="I54" s="63"/>
      <c r="J54" s="63"/>
      <c r="K54" s="63"/>
    </row>
    <row r="55" spans="2:12" x14ac:dyDescent="0.35">
      <c r="C55" s="51" t="s">
        <v>172</v>
      </c>
      <c r="D55" s="49"/>
      <c r="E55" s="66">
        <v>100</v>
      </c>
      <c r="F55" s="37">
        <f>E55*F3</f>
        <v>150</v>
      </c>
      <c r="G55" s="37">
        <f>E55*G3</f>
        <v>200</v>
      </c>
      <c r="H55" s="62"/>
      <c r="I55" s="63"/>
      <c r="J55" s="63"/>
      <c r="K55" s="63"/>
    </row>
    <row r="56" spans="2:12" x14ac:dyDescent="0.35">
      <c r="C56" s="51" t="s">
        <v>173</v>
      </c>
      <c r="D56" s="49"/>
      <c r="E56" s="66">
        <f>E55*E52</f>
        <v>900</v>
      </c>
      <c r="F56" s="66">
        <f>F55*F52</f>
        <v>1350</v>
      </c>
      <c r="G56" s="66">
        <f t="shared" ref="G56" si="12">G55*G52</f>
        <v>1800</v>
      </c>
      <c r="H56" s="62"/>
      <c r="I56" s="63"/>
      <c r="J56" s="63"/>
      <c r="K56" s="63"/>
    </row>
    <row r="57" spans="2:12" x14ac:dyDescent="0.35">
      <c r="C57" s="51" t="s">
        <v>113</v>
      </c>
      <c r="D57" s="49"/>
      <c r="E57" s="37">
        <f>E54*E52</f>
        <v>27</v>
      </c>
      <c r="F57" s="37">
        <f>F54*F52</f>
        <v>27</v>
      </c>
      <c r="G57" s="37">
        <f t="shared" ref="G57" si="13">G54*G52</f>
        <v>27</v>
      </c>
      <c r="H57" s="49"/>
      <c r="I57" s="37">
        <f>(E57*GenAssumptions!D24)</f>
        <v>270000</v>
      </c>
      <c r="J57" s="37">
        <f>(F57*GenAssumptions!E24)</f>
        <v>270000</v>
      </c>
      <c r="K57" s="37">
        <f>(G57*GenAssumptions!F24)</f>
        <v>270000</v>
      </c>
    </row>
    <row r="58" spans="2:12" x14ac:dyDescent="0.35">
      <c r="C58" s="51" t="s">
        <v>3</v>
      </c>
      <c r="D58" s="49"/>
      <c r="E58" s="37">
        <f>E54*E56</f>
        <v>2700</v>
      </c>
      <c r="F58" s="37">
        <f>F54*F56</f>
        <v>4050</v>
      </c>
      <c r="G58" s="37">
        <f>G54*G56</f>
        <v>5400</v>
      </c>
      <c r="H58" s="49"/>
      <c r="I58" s="37">
        <f>E58*GenAssumptions!D27</f>
        <v>405000</v>
      </c>
      <c r="J58" s="37">
        <f>F58*GenAssumptions!E27</f>
        <v>607500</v>
      </c>
      <c r="K58" s="37">
        <f>G58*GenAssumptions!F27</f>
        <v>810000</v>
      </c>
    </row>
    <row r="59" spans="2:12" x14ac:dyDescent="0.35">
      <c r="C59" s="51" t="s">
        <v>77</v>
      </c>
      <c r="D59" s="49"/>
      <c r="E59" s="37">
        <f>E53*E52</f>
        <v>18</v>
      </c>
      <c r="F59" s="37">
        <f>F53*F52</f>
        <v>18</v>
      </c>
      <c r="G59" s="37">
        <f>G53*G52</f>
        <v>18</v>
      </c>
      <c r="H59" s="49"/>
      <c r="I59" s="37">
        <f>E59*GenAssumptions!D22</f>
        <v>90000</v>
      </c>
      <c r="J59" s="37">
        <f>F59*GenAssumptions!E22</f>
        <v>90000</v>
      </c>
      <c r="K59" s="37">
        <f>G59*GenAssumptions!F22</f>
        <v>90000</v>
      </c>
    </row>
    <row r="60" spans="2:12" x14ac:dyDescent="0.35">
      <c r="C60" s="51" t="s">
        <v>78</v>
      </c>
      <c r="D60" s="49"/>
      <c r="E60" s="37">
        <f>E56*GenAssumptions!D19</f>
        <v>27000</v>
      </c>
      <c r="F60" s="37">
        <f>F56*GenAssumptions!E19</f>
        <v>40500</v>
      </c>
      <c r="G60" s="37">
        <f>G56*GenAssumptions!F19</f>
        <v>54000</v>
      </c>
      <c r="H60" s="49"/>
      <c r="I60" s="37">
        <f>E60*GenAssumptions!D45</f>
        <v>125279.99999999999</v>
      </c>
      <c r="J60" s="37">
        <f>F60*GenAssumptions!E45</f>
        <v>187920</v>
      </c>
      <c r="K60" s="37">
        <f>G60*GenAssumptions!F45</f>
        <v>250559.99999999997</v>
      </c>
    </row>
    <row r="61" spans="2:12" x14ac:dyDescent="0.35">
      <c r="C61" s="51" t="s">
        <v>67</v>
      </c>
      <c r="D61" s="49"/>
      <c r="E61" s="37">
        <f>E54*E52</f>
        <v>27</v>
      </c>
      <c r="F61" s="37">
        <f>F54*F52</f>
        <v>27</v>
      </c>
      <c r="G61" s="37">
        <f>G54*G52</f>
        <v>27</v>
      </c>
      <c r="H61" s="49"/>
      <c r="I61" s="37">
        <f>E61*GenAssumptions!D16</f>
        <v>32400</v>
      </c>
      <c r="J61" s="37">
        <f>F61*GenAssumptions!E16</f>
        <v>32400</v>
      </c>
      <c r="K61" s="37">
        <f>G61*GenAssumptions!F16</f>
        <v>32400</v>
      </c>
    </row>
    <row r="62" spans="2:12" x14ac:dyDescent="0.35">
      <c r="C62" s="51" t="s">
        <v>69</v>
      </c>
      <c r="D62" s="49"/>
      <c r="E62" s="37">
        <f>E53*E54*E52</f>
        <v>54</v>
      </c>
      <c r="F62" s="37">
        <f>F53*F54*F52</f>
        <v>54</v>
      </c>
      <c r="G62" s="37">
        <f>G53*G54*G52</f>
        <v>54</v>
      </c>
      <c r="H62" s="49"/>
      <c r="I62" s="37">
        <f>E62*GenAssumptions!D18</f>
        <v>27000</v>
      </c>
      <c r="J62" s="37">
        <f>F62*GenAssumptions!E18</f>
        <v>27000</v>
      </c>
      <c r="K62" s="37">
        <f>G62*GenAssumptions!F18</f>
        <v>27000</v>
      </c>
    </row>
    <row r="63" spans="2:12" x14ac:dyDescent="0.35">
      <c r="C63" s="51" t="s">
        <v>71</v>
      </c>
      <c r="D63" s="49"/>
      <c r="E63" s="37">
        <f>E56</f>
        <v>900</v>
      </c>
      <c r="F63" s="37">
        <f>F56</f>
        <v>1350</v>
      </c>
      <c r="G63" s="37">
        <f>G56</f>
        <v>1800</v>
      </c>
      <c r="H63" s="49"/>
      <c r="I63" s="37">
        <f>E63*GenAssumptions!D28</f>
        <v>67500</v>
      </c>
      <c r="J63" s="37">
        <f>F63*GenAssumptions!E28</f>
        <v>101250</v>
      </c>
      <c r="K63" s="37">
        <f>G63*GenAssumptions!F28</f>
        <v>135000</v>
      </c>
    </row>
    <row r="64" spans="2:12" x14ac:dyDescent="0.35">
      <c r="B64" s="56"/>
      <c r="C64" s="56"/>
      <c r="D64" s="56"/>
      <c r="E64" s="56"/>
      <c r="F64" s="56"/>
      <c r="G64" s="56"/>
      <c r="H64" s="58"/>
      <c r="I64" s="56"/>
      <c r="J64" s="56"/>
      <c r="K64" s="56"/>
    </row>
    <row r="65" spans="2:12" ht="15" thickBot="1" x14ac:dyDescent="0.4">
      <c r="B65" s="61">
        <v>4</v>
      </c>
      <c r="C65" s="60" t="s">
        <v>81</v>
      </c>
      <c r="D65" s="60"/>
      <c r="E65" s="60"/>
      <c r="F65" s="60"/>
      <c r="G65" s="60"/>
      <c r="H65" s="61"/>
      <c r="I65" s="82">
        <f>SUM(I72:I79)</f>
        <v>1698815.3333333333</v>
      </c>
      <c r="J65" s="82">
        <f>SUM(J72:J79)</f>
        <v>3410834.5000000009</v>
      </c>
      <c r="K65" s="82">
        <f>SUM(K72:K79)</f>
        <v>5701494.666666667</v>
      </c>
    </row>
    <row r="66" spans="2:12" ht="15" thickTop="1" x14ac:dyDescent="0.35">
      <c r="B66" s="61"/>
      <c r="C66" s="51" t="s">
        <v>176</v>
      </c>
      <c r="D66" s="60"/>
      <c r="E66" s="66">
        <f>Summary!I18/Summary!I17/10</f>
        <v>5.4444444444444446</v>
      </c>
      <c r="F66" s="66">
        <f>Summary!J18/Summary!J17/10</f>
        <v>8.1666666666666679</v>
      </c>
      <c r="G66" s="66">
        <f>Summary!K18/Summary!K17/10</f>
        <v>10.888888888888889</v>
      </c>
      <c r="H66" s="61"/>
      <c r="I66" s="88"/>
      <c r="J66" s="88"/>
      <c r="K66" s="88"/>
    </row>
    <row r="67" spans="2:12" x14ac:dyDescent="0.35">
      <c r="B67" s="61"/>
      <c r="C67" s="51" t="s">
        <v>175</v>
      </c>
      <c r="D67" s="60"/>
      <c r="E67" s="37">
        <f>E66*Summary!I17</f>
        <v>49</v>
      </c>
      <c r="F67" s="37">
        <f>F66*Summary!J17</f>
        <v>73.500000000000014</v>
      </c>
      <c r="G67" s="37">
        <f>G66*Summary!K17</f>
        <v>98</v>
      </c>
      <c r="H67" s="37">
        <f>H66*Summary!L17</f>
        <v>0</v>
      </c>
      <c r="I67" s="88"/>
      <c r="J67" s="88"/>
      <c r="K67" s="88"/>
    </row>
    <row r="68" spans="2:12" x14ac:dyDescent="0.35">
      <c r="C68" s="51" t="s">
        <v>76</v>
      </c>
      <c r="D68" s="49"/>
      <c r="E68" s="66">
        <v>2</v>
      </c>
      <c r="F68" s="66">
        <v>2</v>
      </c>
      <c r="G68" s="66">
        <v>2</v>
      </c>
      <c r="H68" s="62"/>
      <c r="I68" s="63"/>
      <c r="J68" s="63"/>
      <c r="K68" s="63"/>
    </row>
    <row r="69" spans="2:12" x14ac:dyDescent="0.35">
      <c r="C69" s="51" t="s">
        <v>83</v>
      </c>
      <c r="D69" s="49"/>
      <c r="E69" s="66">
        <v>1</v>
      </c>
      <c r="F69" s="66">
        <v>1</v>
      </c>
      <c r="G69" s="66">
        <v>1</v>
      </c>
      <c r="H69" s="62"/>
      <c r="I69" s="63"/>
      <c r="J69" s="63"/>
      <c r="K69" s="63"/>
    </row>
    <row r="70" spans="2:12" x14ac:dyDescent="0.35">
      <c r="C70" s="51" t="s">
        <v>174</v>
      </c>
      <c r="D70" s="49"/>
      <c r="E70" s="66">
        <v>15</v>
      </c>
      <c r="F70" s="66">
        <v>15</v>
      </c>
      <c r="G70" s="66">
        <v>15</v>
      </c>
      <c r="H70" s="62"/>
      <c r="I70" s="63"/>
      <c r="J70" s="63"/>
      <c r="K70" s="63"/>
    </row>
    <row r="71" spans="2:12" x14ac:dyDescent="0.35">
      <c r="C71" s="51" t="s">
        <v>84</v>
      </c>
      <c r="D71" s="49"/>
      <c r="E71" s="66">
        <f>E70*E66</f>
        <v>81.666666666666671</v>
      </c>
      <c r="F71" s="37">
        <f>E71*F3</f>
        <v>122.5</v>
      </c>
      <c r="G71" s="37">
        <f>E71*G3</f>
        <v>163.33333333333334</v>
      </c>
      <c r="H71" s="62"/>
      <c r="I71" s="63"/>
      <c r="J71" s="63"/>
      <c r="K71" s="63"/>
      <c r="L71" s="94"/>
    </row>
    <row r="72" spans="2:12" x14ac:dyDescent="0.35">
      <c r="C72" s="51" t="s">
        <v>113</v>
      </c>
      <c r="D72" s="49"/>
      <c r="E72" s="37">
        <f>E67</f>
        <v>49</v>
      </c>
      <c r="F72" s="37">
        <f>F67</f>
        <v>73.500000000000014</v>
      </c>
      <c r="G72" s="37">
        <f t="shared" ref="G72" si="14">G67</f>
        <v>98</v>
      </c>
      <c r="H72" s="49"/>
      <c r="I72" s="37">
        <f>E72*GenAssumptions!D24</f>
        <v>490000</v>
      </c>
      <c r="J72" s="37">
        <f>F72*GenAssumptions!E24</f>
        <v>735000.00000000012</v>
      </c>
      <c r="K72" s="37">
        <f>G72*GenAssumptions!F24</f>
        <v>980000</v>
      </c>
    </row>
    <row r="73" spans="2:12" x14ac:dyDescent="0.35">
      <c r="C73" s="51" t="s">
        <v>3</v>
      </c>
      <c r="D73" s="49"/>
      <c r="E73" s="37">
        <f>E69*E71*E67</f>
        <v>4001.666666666667</v>
      </c>
      <c r="F73" s="37">
        <f>F69*F71*F67</f>
        <v>9003.7500000000018</v>
      </c>
      <c r="G73" s="37">
        <f>G69*G71*G67</f>
        <v>16006.666666666668</v>
      </c>
      <c r="H73" s="49"/>
      <c r="I73" s="37">
        <f>E73*GenAssumptions!D27</f>
        <v>600250</v>
      </c>
      <c r="J73" s="37">
        <f>F73*GenAssumptions!E27</f>
        <v>1350562.5000000002</v>
      </c>
      <c r="K73" s="37">
        <f>G73*GenAssumptions!F27</f>
        <v>2401000</v>
      </c>
    </row>
    <row r="74" spans="2:12" x14ac:dyDescent="0.35">
      <c r="C74" s="51" t="s">
        <v>77</v>
      </c>
      <c r="D74" s="49"/>
      <c r="E74" s="37">
        <v>0</v>
      </c>
      <c r="F74" s="37">
        <v>0</v>
      </c>
      <c r="G74" s="37">
        <v>0</v>
      </c>
      <c r="H74" s="49"/>
      <c r="I74" s="37">
        <f>E74*GenAssumptions!D22</f>
        <v>0</v>
      </c>
      <c r="J74" s="37">
        <f>F74*GenAssumptions!E22</f>
        <v>0</v>
      </c>
      <c r="K74" s="37">
        <f>G74*GenAssumptions!F22</f>
        <v>0</v>
      </c>
    </row>
    <row r="75" spans="2:12" x14ac:dyDescent="0.35">
      <c r="C75" s="51" t="s">
        <v>78</v>
      </c>
      <c r="D75" s="49"/>
      <c r="E75" s="37">
        <f>E71*E67*GenAssumptions!D19</f>
        <v>120050.00000000001</v>
      </c>
      <c r="F75" s="37">
        <f>F71*F67*GenAssumptions!E19</f>
        <v>270112.50000000006</v>
      </c>
      <c r="G75" s="37">
        <f>G71*G67*GenAssumptions!F19</f>
        <v>480200.00000000006</v>
      </c>
      <c r="H75" s="49"/>
      <c r="I75" s="37">
        <f>E75*GenAssumptions!D45</f>
        <v>557032</v>
      </c>
      <c r="J75" s="37">
        <f>F75*GenAssumptions!E45</f>
        <v>1253322.0000000002</v>
      </c>
      <c r="K75" s="37">
        <f>G75*GenAssumptions!F45</f>
        <v>2228128</v>
      </c>
    </row>
    <row r="76" spans="2:12" x14ac:dyDescent="0.35">
      <c r="C76" s="51" t="s">
        <v>67</v>
      </c>
      <c r="D76" s="49"/>
      <c r="E76" s="37">
        <f>E69</f>
        <v>1</v>
      </c>
      <c r="F76" s="37">
        <f>F69</f>
        <v>1</v>
      </c>
      <c r="G76" s="37">
        <f>G69</f>
        <v>1</v>
      </c>
      <c r="H76" s="49"/>
      <c r="I76" s="37">
        <f>E76*GenAssumptions!D16</f>
        <v>1200</v>
      </c>
      <c r="J76" s="37">
        <f>F76*GenAssumptions!E16</f>
        <v>1200</v>
      </c>
      <c r="K76" s="37">
        <f>G76*GenAssumptions!F16</f>
        <v>1200</v>
      </c>
    </row>
    <row r="77" spans="2:12" x14ac:dyDescent="0.35">
      <c r="C77" s="51" t="s">
        <v>69</v>
      </c>
      <c r="D77" s="49"/>
      <c r="E77" s="37">
        <f>E68*E69</f>
        <v>2</v>
      </c>
      <c r="F77" s="37">
        <f>F68*F69</f>
        <v>2</v>
      </c>
      <c r="G77" s="37">
        <f>G68*G69</f>
        <v>2</v>
      </c>
      <c r="H77" s="49"/>
      <c r="I77" s="37">
        <f>E77*GenAssumptions!D18</f>
        <v>1000</v>
      </c>
      <c r="J77" s="37">
        <f>F77*GenAssumptions!E18</f>
        <v>1000</v>
      </c>
      <c r="K77" s="37">
        <f>G77*GenAssumptions!F18</f>
        <v>1000</v>
      </c>
    </row>
    <row r="78" spans="2:12" x14ac:dyDescent="0.35">
      <c r="C78" s="51" t="s">
        <v>89</v>
      </c>
      <c r="D78" s="49"/>
      <c r="E78" s="37">
        <f>E71</f>
        <v>81.666666666666671</v>
      </c>
      <c r="F78" s="37">
        <f t="shared" ref="F78:G78" si="15">F71</f>
        <v>122.5</v>
      </c>
      <c r="G78" s="37">
        <f t="shared" si="15"/>
        <v>163.33333333333334</v>
      </c>
      <c r="H78" s="49"/>
      <c r="I78" s="37">
        <f>E78*GenAssumptions!D18</f>
        <v>40833.333333333336</v>
      </c>
      <c r="J78" s="37">
        <f>F78*GenAssumptions!E18</f>
        <v>61250</v>
      </c>
      <c r="K78" s="37">
        <f>G78*GenAssumptions!F18</f>
        <v>81666.666666666672</v>
      </c>
    </row>
    <row r="79" spans="2:12" x14ac:dyDescent="0.35">
      <c r="C79" s="51" t="s">
        <v>86</v>
      </c>
      <c r="D79" s="49"/>
      <c r="E79" s="37">
        <v>1</v>
      </c>
      <c r="F79" s="37">
        <v>1</v>
      </c>
      <c r="G79" s="37">
        <v>1</v>
      </c>
      <c r="H79" s="49"/>
      <c r="I79" s="37">
        <f>E79*GenAssumptions!D29</f>
        <v>8500</v>
      </c>
      <c r="J79" s="37">
        <f>F79*GenAssumptions!E29</f>
        <v>8500</v>
      </c>
      <c r="K79" s="37">
        <f>G79*GenAssumptions!F29</f>
        <v>8500</v>
      </c>
    </row>
    <row r="81" spans="2:11" x14ac:dyDescent="0.35">
      <c r="B81" s="56"/>
      <c r="C81" s="56"/>
      <c r="D81" s="56"/>
      <c r="E81" s="56"/>
      <c r="F81" s="56"/>
      <c r="G81" s="56"/>
      <c r="H81" s="58"/>
      <c r="I81" s="56"/>
      <c r="J81" s="56"/>
      <c r="K81" s="56"/>
    </row>
    <row r="82" spans="2:11" ht="15" thickBot="1" x14ac:dyDescent="0.4">
      <c r="B82" s="61">
        <v>5</v>
      </c>
      <c r="C82" s="60" t="s">
        <v>177</v>
      </c>
      <c r="D82" s="60"/>
      <c r="E82" s="60"/>
      <c r="F82" s="60"/>
      <c r="G82" s="60"/>
      <c r="H82" s="61"/>
      <c r="I82" s="82">
        <f>SUM(I88:I93)</f>
        <v>2012040</v>
      </c>
      <c r="J82" s="82">
        <f>SUM(J88:J93)</f>
        <v>2917560</v>
      </c>
      <c r="K82" s="82">
        <f>SUM(K88:K93)</f>
        <v>3823080</v>
      </c>
    </row>
    <row r="83" spans="2:11" ht="15" thickTop="1" x14ac:dyDescent="0.35">
      <c r="B83" s="61"/>
      <c r="C83" s="51" t="s">
        <v>178</v>
      </c>
      <c r="D83" s="60"/>
      <c r="E83" s="66">
        <v>2</v>
      </c>
      <c r="F83" s="66">
        <v>2</v>
      </c>
      <c r="G83" s="66">
        <v>2</v>
      </c>
      <c r="H83" s="61"/>
      <c r="I83" s="88"/>
      <c r="J83" s="88"/>
      <c r="K83" s="88"/>
    </row>
    <row r="84" spans="2:11" x14ac:dyDescent="0.35">
      <c r="B84" s="61"/>
      <c r="C84" s="51" t="s">
        <v>175</v>
      </c>
      <c r="D84" s="60"/>
      <c r="E84" s="37">
        <v>1</v>
      </c>
      <c r="F84" s="37">
        <v>1</v>
      </c>
      <c r="G84" s="37">
        <v>1</v>
      </c>
      <c r="H84" s="37">
        <f>H83*Summary!L34</f>
        <v>0</v>
      </c>
      <c r="I84" s="88"/>
      <c r="J84" s="88"/>
      <c r="K84" s="88"/>
    </row>
    <row r="85" spans="2:11" x14ac:dyDescent="0.35">
      <c r="C85" s="51" t="s">
        <v>76</v>
      </c>
      <c r="D85" s="49"/>
      <c r="E85" s="66">
        <v>2</v>
      </c>
      <c r="F85" s="66">
        <v>2</v>
      </c>
      <c r="G85" s="66">
        <v>2</v>
      </c>
      <c r="H85" s="62"/>
      <c r="I85" s="63"/>
      <c r="J85" s="63"/>
      <c r="K85" s="63"/>
    </row>
    <row r="86" spans="2:11" x14ac:dyDescent="0.35">
      <c r="C86" s="51" t="s">
        <v>83</v>
      </c>
      <c r="D86" s="49"/>
      <c r="E86" s="66">
        <v>3</v>
      </c>
      <c r="F86" s="66">
        <v>3</v>
      </c>
      <c r="G86" s="66">
        <v>3</v>
      </c>
      <c r="H86" s="62"/>
      <c r="I86" s="63"/>
      <c r="J86" s="63"/>
      <c r="K86" s="63"/>
    </row>
    <row r="87" spans="2:11" x14ac:dyDescent="0.35">
      <c r="C87" s="51" t="s">
        <v>84</v>
      </c>
      <c r="D87" s="49"/>
      <c r="E87" s="91">
        <f>3*Summary!I18</f>
        <v>1470</v>
      </c>
      <c r="F87" s="91">
        <f>3*Summary!J18</f>
        <v>2205</v>
      </c>
      <c r="G87" s="91">
        <f>3*Summary!K18</f>
        <v>2940</v>
      </c>
      <c r="H87" s="62"/>
      <c r="I87" s="63"/>
      <c r="J87" s="63"/>
      <c r="K87" s="63"/>
    </row>
    <row r="88" spans="2:11" x14ac:dyDescent="0.35">
      <c r="C88" s="51" t="s">
        <v>113</v>
      </c>
      <c r="D88" s="49"/>
      <c r="E88" s="37">
        <f>E86</f>
        <v>3</v>
      </c>
      <c r="F88" s="37">
        <f>F86</f>
        <v>3</v>
      </c>
      <c r="G88" s="37">
        <f t="shared" ref="G88" si="16">G86</f>
        <v>3</v>
      </c>
      <c r="H88" s="49"/>
      <c r="I88" s="37">
        <f>E88*GenAssumptions!D23</f>
        <v>150000</v>
      </c>
      <c r="J88" s="37">
        <f>F88*GenAssumptions!E23</f>
        <v>150000</v>
      </c>
      <c r="K88" s="37">
        <f>G88*GenAssumptions!F23</f>
        <v>150000</v>
      </c>
    </row>
    <row r="89" spans="2:11" x14ac:dyDescent="0.35">
      <c r="C89" s="51" t="s">
        <v>3</v>
      </c>
      <c r="D89" s="49"/>
      <c r="E89" s="37">
        <f>E87</f>
        <v>1470</v>
      </c>
      <c r="F89" s="37">
        <f>F87</f>
        <v>2205</v>
      </c>
      <c r="G89" s="37">
        <f>G87</f>
        <v>2940</v>
      </c>
      <c r="H89" s="49"/>
      <c r="I89" s="37">
        <f>E89*GenAssumptions!D26</f>
        <v>735000</v>
      </c>
      <c r="J89" s="37">
        <f>F89*GenAssumptions!E26</f>
        <v>1102500</v>
      </c>
      <c r="K89" s="37">
        <f>G89*GenAssumptions!F26</f>
        <v>1470000</v>
      </c>
    </row>
    <row r="90" spans="2:11" x14ac:dyDescent="0.35">
      <c r="C90" s="51" t="s">
        <v>78</v>
      </c>
      <c r="D90" s="49"/>
      <c r="E90" s="37">
        <f>E89*GenAssumptions!D20</f>
        <v>73500</v>
      </c>
      <c r="F90" s="37">
        <f>F89*GenAssumptions!E20</f>
        <v>110250</v>
      </c>
      <c r="G90" s="37">
        <f>G89*GenAssumptions!F20</f>
        <v>147000</v>
      </c>
      <c r="H90" s="49"/>
      <c r="I90" s="37">
        <f>E90*GenAssumptions!D45</f>
        <v>341040</v>
      </c>
      <c r="J90" s="37">
        <f>F90*GenAssumptions!E45</f>
        <v>511559.99999999994</v>
      </c>
      <c r="K90" s="37">
        <f>G90*GenAssumptions!F45</f>
        <v>682080</v>
      </c>
    </row>
    <row r="91" spans="2:11" x14ac:dyDescent="0.35">
      <c r="C91" s="51" t="s">
        <v>180</v>
      </c>
      <c r="D91" s="49"/>
      <c r="E91" s="37">
        <f>E83</f>
        <v>2</v>
      </c>
      <c r="F91" s="37">
        <f>F83</f>
        <v>2</v>
      </c>
      <c r="G91" s="37">
        <f>G83</f>
        <v>2</v>
      </c>
      <c r="H91" s="49"/>
      <c r="I91" s="37">
        <f>E91*GenAssumptions!D18</f>
        <v>1000</v>
      </c>
      <c r="J91" s="37">
        <f>F91*GenAssumptions!E18</f>
        <v>1000</v>
      </c>
      <c r="K91" s="37">
        <f>G91*GenAssumptions!F18</f>
        <v>1000</v>
      </c>
    </row>
    <row r="92" spans="2:11" x14ac:dyDescent="0.35">
      <c r="C92" s="51" t="s">
        <v>89</v>
      </c>
      <c r="D92" s="49"/>
      <c r="E92" s="37">
        <f>E87</f>
        <v>1470</v>
      </c>
      <c r="F92" s="37">
        <f>F87</f>
        <v>2205</v>
      </c>
      <c r="G92" s="37">
        <f>G87</f>
        <v>2940</v>
      </c>
      <c r="H92" s="49"/>
      <c r="I92" s="37">
        <f>E92*GenAssumptions!D18</f>
        <v>735000</v>
      </c>
      <c r="J92" s="37">
        <f>F92*GenAssumptions!E18</f>
        <v>1102500</v>
      </c>
      <c r="K92" s="37">
        <f>G92*GenAssumptions!F18</f>
        <v>1470000</v>
      </c>
    </row>
    <row r="93" spans="2:11" x14ac:dyDescent="0.35">
      <c r="C93" s="51" t="s">
        <v>86</v>
      </c>
      <c r="D93" s="49"/>
      <c r="E93" s="37">
        <v>1</v>
      </c>
      <c r="F93" s="37">
        <v>1</v>
      </c>
      <c r="G93" s="37">
        <v>1</v>
      </c>
      <c r="H93" s="49"/>
      <c r="I93" s="37">
        <f>E93*GenAssumptions!D30</f>
        <v>50000</v>
      </c>
      <c r="J93" s="37">
        <f>F93*GenAssumptions!E30</f>
        <v>50000</v>
      </c>
      <c r="K93" s="37">
        <f>G93*GenAssumptions!F30</f>
        <v>50000</v>
      </c>
    </row>
    <row r="95" spans="2:11" x14ac:dyDescent="0.35">
      <c r="B95" s="56"/>
      <c r="C95" s="56"/>
      <c r="D95" s="56"/>
      <c r="E95" s="56"/>
      <c r="F95" s="56"/>
      <c r="G95" s="56"/>
      <c r="H95" s="58"/>
      <c r="I95" s="56"/>
      <c r="J95" s="56"/>
      <c r="K95" s="56"/>
    </row>
    <row r="96" spans="2:11" ht="15" thickBot="1" x14ac:dyDescent="0.4">
      <c r="B96" s="61">
        <v>5</v>
      </c>
      <c r="C96" s="60" t="s">
        <v>168</v>
      </c>
      <c r="D96" s="100" t="s">
        <v>157</v>
      </c>
      <c r="E96" s="60"/>
      <c r="F96" s="60"/>
      <c r="G96" s="60"/>
      <c r="H96" s="61"/>
      <c r="I96" s="82">
        <f>SUM(I97:I106)</f>
        <v>427551.4</v>
      </c>
      <c r="J96" s="82">
        <f>SUM(J97:J106)</f>
        <v>533509</v>
      </c>
      <c r="K96" s="82">
        <f t="shared" ref="K96" si="17">SUM(K97:K106)</f>
        <v>533509</v>
      </c>
    </row>
    <row r="97" spans="3:11" ht="15" thickTop="1" x14ac:dyDescent="0.35">
      <c r="C97" s="51" t="s">
        <v>93</v>
      </c>
      <c r="E97" s="91">
        <v>1</v>
      </c>
      <c r="F97" s="91">
        <v>1</v>
      </c>
      <c r="G97" s="91">
        <v>1</v>
      </c>
      <c r="I97" s="37">
        <f>E97*GenAssumptions!D48</f>
        <v>8268</v>
      </c>
      <c r="J97" s="37">
        <f>F97*GenAssumptions!E48</f>
        <v>8268</v>
      </c>
      <c r="K97" s="37">
        <f>G97*GenAssumptions!F48</f>
        <v>8268</v>
      </c>
    </row>
    <row r="98" spans="3:11" x14ac:dyDescent="0.35">
      <c r="C98" s="51" t="s">
        <v>94</v>
      </c>
      <c r="E98" s="91">
        <v>1</v>
      </c>
      <c r="F98" s="91">
        <v>1</v>
      </c>
      <c r="G98" s="91">
        <v>1</v>
      </c>
      <c r="I98" s="37">
        <f>E98*GenAssumptions!D49</f>
        <v>58840.6</v>
      </c>
      <c r="J98" s="37">
        <f>F98*GenAssumptions!E49</f>
        <v>58840.6</v>
      </c>
      <c r="K98" s="37">
        <f>G98*GenAssumptions!F49</f>
        <v>58840.6</v>
      </c>
    </row>
    <row r="99" spans="3:11" x14ac:dyDescent="0.35">
      <c r="C99" s="51" t="s">
        <v>95</v>
      </c>
      <c r="E99" s="91">
        <v>1</v>
      </c>
      <c r="F99" s="91">
        <v>1</v>
      </c>
      <c r="G99" s="91">
        <v>1</v>
      </c>
      <c r="I99" s="37">
        <f>E99*GenAssumptions!D50</f>
        <v>13780</v>
      </c>
      <c r="J99" s="37">
        <f>F99*GenAssumptions!E50</f>
        <v>13780</v>
      </c>
      <c r="K99" s="37">
        <f>G99*GenAssumptions!F50</f>
        <v>13780</v>
      </c>
    </row>
    <row r="100" spans="3:11" x14ac:dyDescent="0.35">
      <c r="C100" s="51" t="s">
        <v>96</v>
      </c>
      <c r="E100" s="91">
        <v>1</v>
      </c>
      <c r="F100" s="91">
        <v>1</v>
      </c>
      <c r="G100" s="91">
        <v>1</v>
      </c>
      <c r="I100" s="37">
        <f>E100*GenAssumptions!D51</f>
        <v>33072</v>
      </c>
      <c r="J100" s="37">
        <f>F100*GenAssumptions!E51</f>
        <v>33072</v>
      </c>
      <c r="K100" s="37">
        <f>G100*GenAssumptions!F51</f>
        <v>33072</v>
      </c>
    </row>
    <row r="101" spans="3:11" x14ac:dyDescent="0.35">
      <c r="C101" s="51" t="s">
        <v>97</v>
      </c>
      <c r="E101" s="91">
        <v>1</v>
      </c>
      <c r="F101" s="91">
        <v>1</v>
      </c>
      <c r="G101" s="91">
        <v>1</v>
      </c>
      <c r="I101" s="37">
        <f>E101*GenAssumptions!D52</f>
        <v>25079.600000000002</v>
      </c>
      <c r="J101" s="37">
        <f>F101*GenAssumptions!E52</f>
        <v>25079.600000000002</v>
      </c>
      <c r="K101" s="37">
        <f>G101*GenAssumptions!F52</f>
        <v>25079.600000000002</v>
      </c>
    </row>
    <row r="102" spans="3:11" x14ac:dyDescent="0.35">
      <c r="C102" s="51" t="s">
        <v>98</v>
      </c>
      <c r="E102" s="91">
        <v>1</v>
      </c>
      <c r="F102" s="91">
        <v>1</v>
      </c>
      <c r="G102" s="91">
        <v>1</v>
      </c>
      <c r="I102" s="37">
        <f>E102*GenAssumptions!D53</f>
        <v>15433.6</v>
      </c>
      <c r="J102" s="37">
        <f>F102*GenAssumptions!E53</f>
        <v>15433.6</v>
      </c>
      <c r="K102" s="37">
        <f>G102*GenAssumptions!F53</f>
        <v>15433.6</v>
      </c>
    </row>
    <row r="103" spans="3:11" x14ac:dyDescent="0.35">
      <c r="C103" s="51" t="s">
        <v>99</v>
      </c>
      <c r="E103" s="91">
        <v>1</v>
      </c>
      <c r="F103" s="91">
        <v>1</v>
      </c>
      <c r="G103" s="91">
        <v>1</v>
      </c>
      <c r="I103" s="37">
        <f>E103*GenAssumptions!D54</f>
        <v>12000</v>
      </c>
      <c r="J103" s="37">
        <f>F103*GenAssumptions!E54</f>
        <v>12000</v>
      </c>
      <c r="K103" s="37">
        <f>G103*GenAssumptions!F54</f>
        <v>12000</v>
      </c>
    </row>
    <row r="104" spans="3:11" x14ac:dyDescent="0.35">
      <c r="C104" s="51" t="s">
        <v>100</v>
      </c>
      <c r="E104" s="91">
        <v>1</v>
      </c>
      <c r="F104" s="91">
        <v>1</v>
      </c>
      <c r="G104" s="91">
        <v>1</v>
      </c>
      <c r="I104" s="37">
        <f>E104*GenAssumptions!D55</f>
        <v>55120</v>
      </c>
      <c r="J104" s="37">
        <f>F104*GenAssumptions!E55</f>
        <v>55120</v>
      </c>
      <c r="K104" s="37">
        <f>G104*GenAssumptions!F55</f>
        <v>55120</v>
      </c>
    </row>
    <row r="105" spans="3:11" x14ac:dyDescent="0.35">
      <c r="C105" s="51" t="s">
        <v>101</v>
      </c>
      <c r="E105" s="91">
        <v>33320</v>
      </c>
      <c r="F105" s="91">
        <f>E105*F53</f>
        <v>66640</v>
      </c>
      <c r="G105" s="91">
        <f>E105*G53</f>
        <v>66640</v>
      </c>
      <c r="I105" s="37">
        <f>E105*GenAssumptions!D56</f>
        <v>105957.6</v>
      </c>
      <c r="J105" s="37">
        <f>F105*GenAssumptions!E56</f>
        <v>211915.2</v>
      </c>
      <c r="K105" s="37">
        <f>G105*GenAssumptions!F56</f>
        <v>211915.2</v>
      </c>
    </row>
    <row r="106" spans="3:11" x14ac:dyDescent="0.35">
      <c r="C106" s="51" t="s">
        <v>102</v>
      </c>
      <c r="E106" s="91">
        <v>1</v>
      </c>
      <c r="F106" s="91">
        <v>1</v>
      </c>
      <c r="G106" s="91">
        <v>1</v>
      </c>
      <c r="I106" s="37">
        <f>E106*GenAssumptions!D57</f>
        <v>100000</v>
      </c>
      <c r="J106" s="37">
        <f>F106*GenAssumptions!E57</f>
        <v>100000</v>
      </c>
      <c r="K106" s="37">
        <f>G106*GenAssumptions!F57</f>
        <v>100000</v>
      </c>
    </row>
    <row r="108" spans="3:11" x14ac:dyDescent="0.35">
      <c r="C108" s="51" t="s">
        <v>159</v>
      </c>
      <c r="D108" s="100" t="s">
        <v>160</v>
      </c>
      <c r="E108" s="67">
        <v>0.15</v>
      </c>
      <c r="F108" s="67">
        <v>0.15</v>
      </c>
      <c r="G108" s="67">
        <v>0.15</v>
      </c>
      <c r="I108" s="37">
        <f>E108*I96</f>
        <v>64132.71</v>
      </c>
      <c r="J108" s="37">
        <f>F108*J96</f>
        <v>80026.349999999991</v>
      </c>
      <c r="K108" s="37">
        <f>G108*K96</f>
        <v>80026.349999999991</v>
      </c>
    </row>
  </sheetData>
  <mergeCells count="4">
    <mergeCell ref="M23:T23"/>
    <mergeCell ref="N24:T25"/>
    <mergeCell ref="M26:M29"/>
    <mergeCell ref="N26:T29"/>
  </mergeCells>
  <pageMargins left="0.7" right="0.7" top="0.75" bottom="0.75" header="0.3" footer="0.3"/>
  <pageSetup paperSize="9" orientation="portrait" r:id="rId1"/>
  <ignoredErrors>
    <ignoredError sqref="E77:G77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927EF-1FF7-4749-B6BD-DB9F832E5769}">
  <sheetPr>
    <tabColor theme="6"/>
  </sheetPr>
  <dimension ref="A1:AI42"/>
  <sheetViews>
    <sheetView showGridLines="0" workbookViewId="0">
      <selection activeCell="Q29" sqref="Q29"/>
    </sheetView>
  </sheetViews>
  <sheetFormatPr defaultRowHeight="14.5" x14ac:dyDescent="0.35"/>
  <cols>
    <col min="1" max="1" width="3.1796875" customWidth="1"/>
    <col min="2" max="2" width="2.453125" customWidth="1"/>
    <col min="3" max="3" width="27.54296875" customWidth="1"/>
    <col min="4" max="4" width="2.08984375" customWidth="1"/>
    <col min="5" max="5" width="11" customWidth="1"/>
    <col min="6" max="6" width="12.08984375" customWidth="1"/>
    <col min="7" max="7" width="12.453125" customWidth="1"/>
    <col min="8" max="8" width="0.81640625" customWidth="1"/>
    <col min="9" max="9" width="12.6328125" customWidth="1"/>
    <col min="10" max="10" width="13.36328125" customWidth="1"/>
    <col min="11" max="11" width="13.81640625" customWidth="1"/>
  </cols>
  <sheetData>
    <row r="1" spans="1:35" x14ac:dyDescent="0.35">
      <c r="A1" s="53"/>
      <c r="B1" s="26"/>
      <c r="C1" s="26"/>
      <c r="D1" s="26"/>
      <c r="E1" s="26"/>
      <c r="F1" s="26"/>
      <c r="G1" s="26"/>
      <c r="H1" s="26"/>
      <c r="I1" s="27"/>
      <c r="J1" s="27"/>
      <c r="K1" s="27"/>
    </row>
    <row r="2" spans="1:35" x14ac:dyDescent="0.35">
      <c r="A2" s="28"/>
      <c r="B2" s="56"/>
      <c r="C2" s="56"/>
      <c r="D2" s="56"/>
      <c r="E2" s="56" t="s">
        <v>28</v>
      </c>
      <c r="F2" s="56"/>
      <c r="G2" s="56"/>
      <c r="H2" s="58"/>
      <c r="I2" s="56" t="s">
        <v>17</v>
      </c>
      <c r="J2" s="56"/>
      <c r="K2" s="56"/>
      <c r="AI2" t="s">
        <v>130</v>
      </c>
    </row>
    <row r="3" spans="1:35" x14ac:dyDescent="0.35">
      <c r="A3" s="29"/>
      <c r="B3" s="29"/>
      <c r="C3" s="29"/>
      <c r="D3" s="30"/>
      <c r="E3" s="75" t="s">
        <v>18</v>
      </c>
      <c r="F3" s="102" t="s">
        <v>19</v>
      </c>
      <c r="G3" s="102" t="s">
        <v>20</v>
      </c>
      <c r="H3" s="77"/>
      <c r="I3" s="75" t="s">
        <v>18</v>
      </c>
      <c r="J3" s="102" t="s">
        <v>19</v>
      </c>
      <c r="K3" s="102" t="s">
        <v>20</v>
      </c>
      <c r="AI3" t="s">
        <v>129</v>
      </c>
    </row>
    <row r="4" spans="1:35" x14ac:dyDescent="0.35">
      <c r="A4" s="29"/>
      <c r="B4" s="29"/>
      <c r="C4" s="29"/>
      <c r="D4" s="30"/>
      <c r="E4" s="73">
        <v>1</v>
      </c>
      <c r="F4" s="103">
        <v>1.5</v>
      </c>
      <c r="G4" s="103">
        <v>2</v>
      </c>
      <c r="H4" s="77"/>
      <c r="I4" s="73">
        <v>1</v>
      </c>
      <c r="J4" s="103">
        <v>1.5</v>
      </c>
      <c r="K4" s="103">
        <v>2</v>
      </c>
    </row>
    <row r="5" spans="1:35" ht="15" thickBot="1" x14ac:dyDescent="0.4">
      <c r="A5" s="31"/>
      <c r="B5" s="39"/>
      <c r="C5" s="39"/>
      <c r="D5" s="40"/>
      <c r="E5" s="78" t="s">
        <v>105</v>
      </c>
      <c r="F5" s="104" t="s">
        <v>22</v>
      </c>
      <c r="G5" s="104" t="s">
        <v>21</v>
      </c>
      <c r="H5" s="80"/>
      <c r="I5" s="78" t="s">
        <v>105</v>
      </c>
      <c r="J5" s="104" t="s">
        <v>22</v>
      </c>
      <c r="K5" s="104" t="s">
        <v>21</v>
      </c>
    </row>
    <row r="6" spans="1:35" ht="15.5" thickTop="1" thickBot="1" x14ac:dyDescent="0.4">
      <c r="A6" s="28"/>
      <c r="B6" s="53" t="s">
        <v>129</v>
      </c>
      <c r="C6" s="53"/>
      <c r="D6" s="53"/>
      <c r="E6" s="53"/>
      <c r="F6" s="53"/>
      <c r="G6" s="53"/>
      <c r="H6" s="59"/>
      <c r="I6" s="82">
        <f>SUM(I7:I8)</f>
        <v>0</v>
      </c>
      <c r="J6" s="82">
        <f>SUM(J7:J8)</f>
        <v>0</v>
      </c>
      <c r="K6" s="82">
        <f>SUM(K7:K8)</f>
        <v>0</v>
      </c>
    </row>
    <row r="7" spans="1:35" ht="15" thickTop="1" x14ac:dyDescent="0.35">
      <c r="A7" s="32"/>
      <c r="B7" s="53"/>
      <c r="C7" s="36" t="str">
        <f>C17</f>
        <v>Rise club meetings</v>
      </c>
      <c r="D7" s="53"/>
      <c r="E7" s="53"/>
      <c r="F7" s="53"/>
      <c r="G7" s="53"/>
      <c r="H7" s="59"/>
      <c r="I7" s="37">
        <v>0</v>
      </c>
      <c r="J7" s="37">
        <v>0</v>
      </c>
      <c r="K7" s="37">
        <v>0</v>
      </c>
    </row>
    <row r="8" spans="1:35" x14ac:dyDescent="0.35">
      <c r="A8" s="32"/>
      <c r="B8" s="53"/>
      <c r="C8" s="36" t="str">
        <f>C33</f>
        <v>Club projects - advocacy events</v>
      </c>
      <c r="D8" s="53"/>
      <c r="E8" s="53"/>
      <c r="F8" s="53"/>
      <c r="G8" s="53"/>
      <c r="H8" s="59"/>
      <c r="I8" s="37">
        <v>0</v>
      </c>
      <c r="J8" s="37">
        <v>0</v>
      </c>
      <c r="K8" s="37">
        <v>0</v>
      </c>
    </row>
    <row r="9" spans="1:35" x14ac:dyDescent="0.35">
      <c r="A9" s="32"/>
      <c r="B9" s="53"/>
      <c r="C9" s="101"/>
      <c r="D9" s="53"/>
      <c r="E9" s="53"/>
      <c r="F9" s="53"/>
      <c r="G9" s="53"/>
      <c r="H9" s="59"/>
      <c r="I9" s="59"/>
      <c r="J9" s="59"/>
      <c r="K9" s="59"/>
    </row>
    <row r="10" spans="1:35" ht="15" thickBot="1" x14ac:dyDescent="0.4">
      <c r="A10" s="32"/>
      <c r="B10" s="53" t="s">
        <v>130</v>
      </c>
      <c r="C10" s="53"/>
      <c r="D10" s="53"/>
      <c r="E10" s="53"/>
      <c r="F10" s="53"/>
      <c r="G10" s="53"/>
      <c r="H10" s="59"/>
      <c r="I10" s="82">
        <f>SUM(I11:I12)</f>
        <v>3614376</v>
      </c>
      <c r="J10" s="82">
        <f>SUM(J11:J12)</f>
        <v>5923314</v>
      </c>
      <c r="K10" s="82">
        <f>SUM(K11:K12)</f>
        <v>8569752</v>
      </c>
    </row>
    <row r="11" spans="1:35" ht="15" thickTop="1" x14ac:dyDescent="0.35">
      <c r="A11" s="32"/>
      <c r="B11" s="28"/>
      <c r="C11" s="36" t="str">
        <f>C17</f>
        <v>Rise club meetings</v>
      </c>
      <c r="D11" s="28"/>
      <c r="E11" s="59"/>
      <c r="F11" s="59"/>
      <c r="G11" s="59"/>
      <c r="H11" s="59"/>
      <c r="I11" s="93">
        <f>I17</f>
        <v>2894700</v>
      </c>
      <c r="J11" s="93">
        <f>J17</f>
        <v>4337550</v>
      </c>
      <c r="K11" s="93">
        <f t="shared" ref="K11" si="0">K17</f>
        <v>5780400</v>
      </c>
    </row>
    <row r="12" spans="1:35" x14ac:dyDescent="0.35">
      <c r="A12" s="32"/>
      <c r="B12" s="28"/>
      <c r="C12" s="36" t="str">
        <f>C33</f>
        <v>Club projects - advocacy events</v>
      </c>
      <c r="D12" s="28"/>
      <c r="E12" s="59"/>
      <c r="F12" s="59"/>
      <c r="G12" s="59"/>
      <c r="H12" s="59"/>
      <c r="I12" s="93">
        <f>I33</f>
        <v>719676</v>
      </c>
      <c r="J12" s="93">
        <f>J33</f>
        <v>1585764</v>
      </c>
      <c r="K12" s="93">
        <f t="shared" ref="K12" si="1">K33</f>
        <v>2789352</v>
      </c>
    </row>
    <row r="13" spans="1:35" x14ac:dyDescent="0.35">
      <c r="A13" s="32"/>
      <c r="B13" s="28"/>
      <c r="C13" s="101"/>
      <c r="D13" s="28"/>
      <c r="E13" s="59"/>
      <c r="F13" s="59"/>
      <c r="G13" s="59"/>
      <c r="H13" s="59"/>
      <c r="I13" s="106"/>
      <c r="J13" s="106"/>
      <c r="K13" s="106"/>
    </row>
    <row r="14" spans="1:35" ht="15" thickBot="1" x14ac:dyDescent="0.4">
      <c r="A14" s="32"/>
      <c r="B14" s="107"/>
      <c r="C14" s="108"/>
      <c r="D14" s="113" t="s">
        <v>111</v>
      </c>
      <c r="E14" s="110"/>
      <c r="F14" s="110"/>
      <c r="G14" s="110"/>
      <c r="H14" s="59"/>
      <c r="I14" s="82">
        <f>I10+I6</f>
        <v>3614376</v>
      </c>
      <c r="J14" s="82">
        <f>J10+J6</f>
        <v>5923314</v>
      </c>
      <c r="K14" s="82">
        <f>K10+K6</f>
        <v>8569752</v>
      </c>
    </row>
    <row r="15" spans="1:35" ht="15" thickTop="1" x14ac:dyDescent="0.35">
      <c r="A15" s="28"/>
      <c r="B15" s="28"/>
      <c r="C15" s="36"/>
      <c r="D15" s="28"/>
      <c r="E15" s="59"/>
      <c r="F15" s="59"/>
      <c r="G15" s="59"/>
      <c r="H15" s="59"/>
      <c r="I15" s="59"/>
      <c r="J15" s="59"/>
      <c r="K15" s="59"/>
    </row>
    <row r="16" spans="1:35" x14ac:dyDescent="0.35">
      <c r="B16" s="56"/>
      <c r="C16" s="56"/>
      <c r="D16" s="56"/>
      <c r="E16" s="56"/>
      <c r="F16" s="56"/>
      <c r="G16" s="56"/>
      <c r="H16" s="58"/>
      <c r="I16" s="56"/>
      <c r="J16" s="56"/>
      <c r="K16" s="56"/>
      <c r="M16" s="159" t="s">
        <v>30</v>
      </c>
      <c r="N16" s="159"/>
      <c r="O16" s="159"/>
      <c r="P16" s="159"/>
      <c r="Q16" s="159"/>
      <c r="R16" s="159"/>
      <c r="S16" s="159"/>
      <c r="T16" s="160"/>
    </row>
    <row r="17" spans="2:20" ht="14.5" customHeight="1" thickBot="1" x14ac:dyDescent="0.4">
      <c r="B17" s="61">
        <v>1</v>
      </c>
      <c r="C17" s="60" t="s">
        <v>115</v>
      </c>
      <c r="D17" s="60"/>
      <c r="E17" s="59"/>
      <c r="F17" s="59"/>
      <c r="G17" s="59"/>
      <c r="H17" s="60"/>
      <c r="I17" s="82">
        <f>I19+I28</f>
        <v>2894700</v>
      </c>
      <c r="J17" s="82">
        <f>J19+J28</f>
        <v>4337550</v>
      </c>
      <c r="K17" s="82">
        <f t="shared" ref="K17" si="2">K19+K28</f>
        <v>5780400</v>
      </c>
      <c r="M17" s="130"/>
      <c r="N17" s="153" t="s">
        <v>192</v>
      </c>
      <c r="O17" s="154"/>
      <c r="P17" s="154"/>
      <c r="Q17" s="154"/>
      <c r="R17" s="154"/>
      <c r="S17" s="154"/>
      <c r="T17" s="155"/>
    </row>
    <row r="18" spans="2:20" ht="14.5" customHeight="1" thickTop="1" x14ac:dyDescent="0.35">
      <c r="B18" s="61"/>
      <c r="C18" s="60"/>
      <c r="D18" s="60"/>
      <c r="E18" s="59"/>
      <c r="F18" s="59"/>
      <c r="G18" s="59"/>
      <c r="H18" s="60"/>
      <c r="I18" s="88"/>
      <c r="J18" s="88"/>
      <c r="K18" s="88"/>
      <c r="M18" s="131"/>
      <c r="N18" s="156"/>
      <c r="O18" s="157"/>
      <c r="P18" s="157"/>
      <c r="Q18" s="157"/>
      <c r="R18" s="157"/>
      <c r="S18" s="157"/>
      <c r="T18" s="158"/>
    </row>
    <row r="19" spans="2:20" ht="15" thickBot="1" x14ac:dyDescent="0.4">
      <c r="C19" s="36" t="s">
        <v>119</v>
      </c>
      <c r="E19" s="59"/>
      <c r="F19" s="59"/>
      <c r="G19" s="59"/>
      <c r="H19" s="38"/>
      <c r="I19" s="89">
        <f>I21+I24+I26</f>
        <v>1894699.9999999998</v>
      </c>
      <c r="J19" s="89">
        <f>J21+J24+J26</f>
        <v>2837550</v>
      </c>
      <c r="K19" s="89">
        <f t="shared" ref="K19" si="3">K21+K24+K26</f>
        <v>3780399.9999999995</v>
      </c>
      <c r="L19" s="43" t="s">
        <v>152</v>
      </c>
      <c r="M19" s="170"/>
      <c r="N19" s="161" t="s">
        <v>31</v>
      </c>
      <c r="O19" s="162"/>
      <c r="P19" s="162"/>
      <c r="Q19" s="162"/>
      <c r="R19" s="162"/>
      <c r="S19" s="162"/>
      <c r="T19" s="163"/>
    </row>
    <row r="20" spans="2:20" ht="15" thickTop="1" x14ac:dyDescent="0.35">
      <c r="C20" s="36" t="str">
        <f>Summary!C17</f>
        <v>Number of provinces active</v>
      </c>
      <c r="D20" s="36"/>
      <c r="E20" s="87">
        <f>Summary!I17</f>
        <v>9</v>
      </c>
      <c r="F20" s="87">
        <f>Summary!I17</f>
        <v>9</v>
      </c>
      <c r="G20" s="87">
        <f>Summary!I17</f>
        <v>9</v>
      </c>
      <c r="H20" s="38"/>
      <c r="I20" s="92"/>
      <c r="J20" s="92"/>
      <c r="K20" s="92"/>
      <c r="L20" s="43"/>
      <c r="M20" s="171"/>
      <c r="N20" s="164"/>
      <c r="O20" s="165"/>
      <c r="P20" s="165"/>
      <c r="Q20" s="165"/>
      <c r="R20" s="165"/>
      <c r="S20" s="165"/>
      <c r="T20" s="166"/>
    </row>
    <row r="21" spans="2:20" x14ac:dyDescent="0.35">
      <c r="C21" s="84" t="s">
        <v>116</v>
      </c>
      <c r="E21" s="59"/>
      <c r="F21" s="59"/>
      <c r="G21" s="59"/>
      <c r="H21" s="38"/>
      <c r="I21" s="37">
        <f>E20*E22*E23*GenAssumptions!D45</f>
        <v>1879199.9999999998</v>
      </c>
      <c r="J21" s="37">
        <f>F20*F22*F23*GenAssumptions!E45</f>
        <v>2818800</v>
      </c>
      <c r="K21" s="37">
        <f>G20*G22*G23*GenAssumptions!F45</f>
        <v>3758399.9999999995</v>
      </c>
      <c r="M21" s="171"/>
      <c r="N21" s="164"/>
      <c r="O21" s="165"/>
      <c r="P21" s="165"/>
      <c r="Q21" s="165"/>
      <c r="R21" s="165"/>
      <c r="S21" s="165"/>
      <c r="T21" s="166"/>
    </row>
    <row r="22" spans="2:20" x14ac:dyDescent="0.35">
      <c r="C22" s="86" t="s">
        <v>122</v>
      </c>
      <c r="E22" s="87">
        <v>150</v>
      </c>
      <c r="F22" s="37">
        <f>E22*F4</f>
        <v>225</v>
      </c>
      <c r="G22" s="37">
        <f>E22*G4</f>
        <v>300</v>
      </c>
      <c r="H22" s="38"/>
      <c r="I22" s="59"/>
      <c r="J22" s="59"/>
      <c r="K22" s="59"/>
      <c r="L22" s="43"/>
      <c r="M22" s="172"/>
      <c r="N22" s="167"/>
      <c r="O22" s="168"/>
      <c r="P22" s="168"/>
      <c r="Q22" s="168"/>
      <c r="R22" s="168"/>
      <c r="S22" s="168"/>
      <c r="T22" s="169"/>
    </row>
    <row r="23" spans="2:20" x14ac:dyDescent="0.35">
      <c r="C23" s="86" t="s">
        <v>125</v>
      </c>
      <c r="E23" s="87">
        <v>300</v>
      </c>
      <c r="F23" s="87">
        <v>300</v>
      </c>
      <c r="G23" s="87">
        <v>300</v>
      </c>
      <c r="H23" s="38"/>
      <c r="I23" s="59"/>
      <c r="J23" s="59"/>
      <c r="K23" s="59"/>
      <c r="L23" s="43"/>
      <c r="M23" s="43"/>
    </row>
    <row r="24" spans="2:20" x14ac:dyDescent="0.35">
      <c r="C24" s="84" t="s">
        <v>117</v>
      </c>
      <c r="E24" s="59"/>
      <c r="F24" s="59"/>
      <c r="G24" s="59"/>
      <c r="H24" s="38"/>
      <c r="I24" s="37">
        <f>E25*GenAssumptions!D40</f>
        <v>6500</v>
      </c>
      <c r="J24" s="37">
        <f>F25*GenAssumptions!E40</f>
        <v>9750</v>
      </c>
      <c r="K24" s="37">
        <f>G25*GenAssumptions!F40</f>
        <v>13000</v>
      </c>
      <c r="L24" s="43"/>
      <c r="M24" s="43"/>
    </row>
    <row r="25" spans="2:20" x14ac:dyDescent="0.35">
      <c r="C25" s="86" t="s">
        <v>126</v>
      </c>
      <c r="E25" s="87">
        <v>1000</v>
      </c>
      <c r="F25" s="37">
        <f>E25*F4</f>
        <v>1500</v>
      </c>
      <c r="G25" s="37">
        <f>E25*G4</f>
        <v>2000</v>
      </c>
      <c r="H25" s="38"/>
      <c r="I25" s="59"/>
      <c r="J25" s="59"/>
      <c r="K25" s="59"/>
      <c r="L25" s="43"/>
      <c r="M25" s="43"/>
    </row>
    <row r="26" spans="2:20" x14ac:dyDescent="0.35">
      <c r="C26" s="84" t="s">
        <v>118</v>
      </c>
      <c r="E26" s="38"/>
      <c r="F26" s="38"/>
      <c r="G26" s="38"/>
      <c r="H26" s="38"/>
      <c r="I26" s="37">
        <f>E27*GenAssumptions!D41</f>
        <v>9000</v>
      </c>
      <c r="J26" s="37">
        <f>F27*GenAssumptions!E41</f>
        <v>9000</v>
      </c>
      <c r="K26" s="37">
        <f>G27*GenAssumptions!F41</f>
        <v>9000</v>
      </c>
      <c r="L26" s="43"/>
      <c r="M26" s="43"/>
    </row>
    <row r="27" spans="2:20" x14ac:dyDescent="0.35">
      <c r="C27" s="86" t="s">
        <v>161</v>
      </c>
      <c r="E27" s="87">
        <f>E20</f>
        <v>9</v>
      </c>
      <c r="F27" s="87">
        <f>F20</f>
        <v>9</v>
      </c>
      <c r="G27" s="87">
        <f t="shared" ref="G27" si="4">G20</f>
        <v>9</v>
      </c>
      <c r="H27" s="38"/>
      <c r="I27" s="92"/>
      <c r="J27" s="92"/>
      <c r="K27" s="92"/>
      <c r="L27" s="43"/>
      <c r="M27" s="43"/>
    </row>
    <row r="28" spans="2:20" ht="15" thickBot="1" x14ac:dyDescent="0.4">
      <c r="C28" s="36" t="s">
        <v>120</v>
      </c>
      <c r="E28" s="38"/>
      <c r="F28" s="38"/>
      <c r="G28" s="38"/>
      <c r="H28" s="38"/>
      <c r="I28" s="89">
        <f>I30</f>
        <v>1000000</v>
      </c>
      <c r="J28" s="89">
        <f>J30</f>
        <v>1500000</v>
      </c>
      <c r="K28" s="89">
        <f t="shared" ref="K28" si="5">K30</f>
        <v>2000000</v>
      </c>
      <c r="L28" s="43"/>
      <c r="M28" s="43"/>
    </row>
    <row r="29" spans="2:20" ht="15" thickTop="1" x14ac:dyDescent="0.35">
      <c r="C29" s="83" t="s">
        <v>121</v>
      </c>
      <c r="E29" s="85">
        <v>2000</v>
      </c>
      <c r="F29" s="37">
        <f>E29*F4</f>
        <v>3000</v>
      </c>
      <c r="G29" s="37">
        <f>E29*G4</f>
        <v>4000</v>
      </c>
      <c r="H29" s="38"/>
      <c r="I29" s="59"/>
      <c r="J29" s="59"/>
      <c r="K29" s="59"/>
      <c r="L29" s="43"/>
      <c r="M29" s="43"/>
    </row>
    <row r="30" spans="2:20" x14ac:dyDescent="0.35">
      <c r="C30" s="83" t="s">
        <v>113</v>
      </c>
      <c r="E30" s="65"/>
      <c r="F30" s="65"/>
      <c r="G30" s="65"/>
      <c r="H30" s="38"/>
      <c r="I30" s="37">
        <f>E29*GenAssumptions!D25</f>
        <v>1000000</v>
      </c>
      <c r="J30" s="37">
        <f>F29*GenAssumptions!E25</f>
        <v>1500000</v>
      </c>
      <c r="K30" s="37">
        <f>G29*GenAssumptions!F25</f>
        <v>2000000</v>
      </c>
      <c r="L30" s="43" t="s">
        <v>186</v>
      </c>
      <c r="M30" s="43"/>
    </row>
    <row r="31" spans="2:20" x14ac:dyDescent="0.35">
      <c r="L31" s="36"/>
    </row>
    <row r="32" spans="2:20" x14ac:dyDescent="0.35">
      <c r="B32" s="56"/>
      <c r="C32" s="56"/>
      <c r="D32" s="56"/>
      <c r="E32" s="56"/>
      <c r="F32" s="56"/>
      <c r="G32" s="56"/>
      <c r="H32" s="58"/>
      <c r="I32" s="56"/>
      <c r="J32" s="56"/>
      <c r="K32" s="56"/>
    </row>
    <row r="33" spans="2:13" ht="15" thickBot="1" x14ac:dyDescent="0.4">
      <c r="B33" s="61">
        <v>2</v>
      </c>
      <c r="C33" s="60" t="s">
        <v>182</v>
      </c>
      <c r="D33" s="60"/>
      <c r="E33" s="60"/>
      <c r="F33" s="60"/>
      <c r="G33" s="60"/>
      <c r="H33" s="60"/>
      <c r="I33" s="82">
        <f>SUM(I37:I39)+I42</f>
        <v>719676</v>
      </c>
      <c r="J33" s="82">
        <f>SUM(J37:J39)+J42</f>
        <v>1585764</v>
      </c>
      <c r="K33" s="82">
        <f t="shared" ref="K33" si="6">SUM(K37:K39)+K42</f>
        <v>2789352</v>
      </c>
    </row>
    <row r="34" spans="2:13" ht="15" thickTop="1" x14ac:dyDescent="0.35">
      <c r="C34" s="49"/>
      <c r="D34" s="49"/>
      <c r="E34" s="62"/>
      <c r="F34" s="62"/>
      <c r="G34" s="62"/>
      <c r="H34" s="62"/>
      <c r="I34" s="90"/>
      <c r="J34" s="90"/>
      <c r="K34" s="90"/>
      <c r="L34" s="36"/>
    </row>
    <row r="35" spans="2:13" x14ac:dyDescent="0.35">
      <c r="C35" s="51" t="s">
        <v>131</v>
      </c>
      <c r="D35" s="49"/>
      <c r="E35" s="66">
        <v>18</v>
      </c>
      <c r="F35" s="37">
        <f>E35*F4</f>
        <v>27</v>
      </c>
      <c r="G35" s="37">
        <f>E35*G4</f>
        <v>36</v>
      </c>
      <c r="H35" s="62"/>
      <c r="I35" s="59"/>
      <c r="J35" s="59"/>
      <c r="K35" s="59"/>
      <c r="L35" s="36"/>
    </row>
    <row r="36" spans="2:13" x14ac:dyDescent="0.35">
      <c r="C36" s="51" t="s">
        <v>133</v>
      </c>
      <c r="D36" s="49"/>
      <c r="E36" s="66">
        <v>500</v>
      </c>
      <c r="F36" s="37">
        <f>E36*F4</f>
        <v>750</v>
      </c>
      <c r="G36" s="37">
        <f>E36*G4</f>
        <v>1000</v>
      </c>
      <c r="H36" s="62"/>
      <c r="I36" s="59"/>
      <c r="J36" s="59"/>
      <c r="K36" s="59"/>
      <c r="L36" s="36"/>
    </row>
    <row r="37" spans="2:13" x14ac:dyDescent="0.35">
      <c r="C37" s="51" t="s">
        <v>132</v>
      </c>
      <c r="D37" s="49"/>
      <c r="E37" s="37">
        <f>E35*GenAssumptions!D20</f>
        <v>900</v>
      </c>
      <c r="F37" s="37">
        <f>F35*GenAssumptions!E20</f>
        <v>1350</v>
      </c>
      <c r="G37" s="37">
        <f>G35*GenAssumptions!F20</f>
        <v>1800</v>
      </c>
      <c r="H37" s="62"/>
      <c r="I37" s="37">
        <f>E37*GenAssumptions!D45</f>
        <v>4176</v>
      </c>
      <c r="J37" s="37">
        <f>F37*GenAssumptions!E45</f>
        <v>6264</v>
      </c>
      <c r="K37" s="37">
        <f>G37*GenAssumptions!F45</f>
        <v>8352</v>
      </c>
      <c r="L37" s="43"/>
      <c r="M37" s="43"/>
    </row>
    <row r="38" spans="2:13" x14ac:dyDescent="0.35">
      <c r="C38" s="51" t="s">
        <v>134</v>
      </c>
      <c r="D38" s="49"/>
      <c r="E38" s="37">
        <f>E35*E36</f>
        <v>9000</v>
      </c>
      <c r="F38" s="37">
        <f>F35*F36</f>
        <v>20250</v>
      </c>
      <c r="G38" s="37">
        <f t="shared" ref="G38" si="7">G35*G36</f>
        <v>36000</v>
      </c>
      <c r="H38" s="49"/>
      <c r="I38" s="37">
        <f>E38*GenAssumptions!D28</f>
        <v>675000</v>
      </c>
      <c r="J38" s="37">
        <f>F38*GenAssumptions!E28</f>
        <v>1518750</v>
      </c>
      <c r="K38" s="37">
        <f>G38*GenAssumptions!F28</f>
        <v>2700000</v>
      </c>
      <c r="L38" s="36"/>
    </row>
    <row r="39" spans="2:13" x14ac:dyDescent="0.35">
      <c r="C39" s="51" t="s">
        <v>135</v>
      </c>
      <c r="D39" s="49"/>
      <c r="E39" s="37"/>
      <c r="F39" s="37"/>
      <c r="G39" s="37"/>
      <c r="H39" s="49"/>
      <c r="I39" s="37"/>
      <c r="J39" s="37"/>
      <c r="K39" s="37"/>
      <c r="L39" s="36"/>
    </row>
    <row r="40" spans="2:13" x14ac:dyDescent="0.35">
      <c r="I40" s="44"/>
      <c r="J40" s="44"/>
      <c r="K40" s="44"/>
      <c r="L40" s="36"/>
    </row>
    <row r="41" spans="2:13" x14ac:dyDescent="0.35">
      <c r="C41" s="51" t="s">
        <v>183</v>
      </c>
      <c r="E41" s="67">
        <v>0.3</v>
      </c>
      <c r="F41" s="67">
        <v>0.3</v>
      </c>
      <c r="G41" s="67">
        <v>0.3</v>
      </c>
    </row>
    <row r="42" spans="2:13" x14ac:dyDescent="0.35">
      <c r="C42" s="51" t="s">
        <v>184</v>
      </c>
      <c r="E42" s="37">
        <f>E35*E41</f>
        <v>5.3999999999999995</v>
      </c>
      <c r="F42" s="37">
        <f>F35*F41</f>
        <v>8.1</v>
      </c>
      <c r="G42" s="37">
        <f t="shared" ref="G42" si="8">G35*G41</f>
        <v>10.799999999999999</v>
      </c>
      <c r="I42" s="37">
        <f>E42*GenAssumptions!D32</f>
        <v>40499.999999999993</v>
      </c>
      <c r="J42" s="37">
        <f>F42*GenAssumptions!E32</f>
        <v>60750</v>
      </c>
      <c r="K42" s="37">
        <f>G42*GenAssumptions!F32</f>
        <v>80999.999999999985</v>
      </c>
    </row>
  </sheetData>
  <mergeCells count="4">
    <mergeCell ref="M16:T16"/>
    <mergeCell ref="N17:T18"/>
    <mergeCell ref="M19:M22"/>
    <mergeCell ref="N19:T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AD70C-E311-46DE-9E37-9D66B1500272}">
  <sheetPr>
    <tabColor theme="6"/>
  </sheetPr>
  <dimension ref="A1:N84"/>
  <sheetViews>
    <sheetView showGridLines="0" topLeftCell="A51" workbookViewId="0">
      <selection activeCell="N36" sqref="N36"/>
    </sheetView>
  </sheetViews>
  <sheetFormatPr defaultRowHeight="14.5" x14ac:dyDescent="0.35"/>
  <cols>
    <col min="1" max="1" width="3.1796875" customWidth="1"/>
    <col min="2" max="2" width="2.453125" customWidth="1"/>
    <col min="3" max="3" width="49.08984375" customWidth="1"/>
    <col min="4" max="4" width="2.54296875" customWidth="1"/>
    <col min="5" max="5" width="11" customWidth="1"/>
    <col min="6" max="6" width="12.453125" customWidth="1"/>
    <col min="7" max="7" width="12.08984375" customWidth="1"/>
    <col min="8" max="8" width="0.81640625" customWidth="1"/>
    <col min="9" max="9" width="12.6328125" customWidth="1"/>
    <col min="10" max="10" width="13.81640625" customWidth="1"/>
    <col min="11" max="11" width="13.36328125" customWidth="1"/>
  </cols>
  <sheetData>
    <row r="1" spans="1:11" x14ac:dyDescent="0.35">
      <c r="A1" s="53"/>
      <c r="B1" s="26"/>
      <c r="C1" s="26"/>
      <c r="D1" s="26"/>
      <c r="E1" s="26"/>
      <c r="F1" s="26"/>
      <c r="G1" s="26"/>
      <c r="H1" s="26"/>
      <c r="I1" s="27"/>
      <c r="J1" s="27"/>
      <c r="K1" s="27"/>
    </row>
    <row r="2" spans="1:11" x14ac:dyDescent="0.35">
      <c r="A2" s="28"/>
      <c r="B2" s="56" t="s">
        <v>2</v>
      </c>
      <c r="C2" s="56"/>
      <c r="D2" s="56"/>
      <c r="E2" s="56" t="s">
        <v>28</v>
      </c>
      <c r="F2" s="56"/>
      <c r="G2" s="56"/>
      <c r="H2" s="58"/>
      <c r="I2" s="56" t="s">
        <v>17</v>
      </c>
      <c r="J2" s="56"/>
      <c r="K2" s="56"/>
    </row>
    <row r="3" spans="1:11" x14ac:dyDescent="0.35">
      <c r="A3" s="29"/>
      <c r="B3" s="29"/>
      <c r="C3" s="29"/>
      <c r="D3" s="30"/>
      <c r="E3" s="75" t="s">
        <v>18</v>
      </c>
      <c r="F3" s="76" t="s">
        <v>19</v>
      </c>
      <c r="G3" s="76" t="s">
        <v>20</v>
      </c>
      <c r="H3" s="77"/>
      <c r="I3" s="75" t="s">
        <v>18</v>
      </c>
      <c r="J3" s="76" t="s">
        <v>19</v>
      </c>
      <c r="K3" s="76" t="s">
        <v>20</v>
      </c>
    </row>
    <row r="4" spans="1:11" x14ac:dyDescent="0.35">
      <c r="A4" s="29"/>
      <c r="B4" s="29"/>
      <c r="C4" s="29"/>
      <c r="D4" s="30"/>
      <c r="E4" s="73">
        <v>1</v>
      </c>
      <c r="F4" s="74">
        <v>2</v>
      </c>
      <c r="G4" s="74">
        <v>1.5</v>
      </c>
      <c r="H4" s="77"/>
      <c r="I4" s="73">
        <v>1</v>
      </c>
      <c r="J4" s="74">
        <v>2</v>
      </c>
      <c r="K4" s="74">
        <v>1.5</v>
      </c>
    </row>
    <row r="5" spans="1:11" ht="15" thickBot="1" x14ac:dyDescent="0.4">
      <c r="A5" s="31"/>
      <c r="B5" s="39"/>
      <c r="C5" s="39"/>
      <c r="D5" s="40"/>
      <c r="E5" s="78" t="s">
        <v>105</v>
      </c>
      <c r="F5" s="79" t="s">
        <v>21</v>
      </c>
      <c r="G5" s="79" t="s">
        <v>22</v>
      </c>
      <c r="H5" s="80"/>
      <c r="I5" s="78" t="s">
        <v>105</v>
      </c>
      <c r="J5" s="79" t="s">
        <v>21</v>
      </c>
      <c r="K5" s="79" t="s">
        <v>22</v>
      </c>
    </row>
    <row r="6" spans="1:11" ht="15" thickTop="1" x14ac:dyDescent="0.35">
      <c r="A6" s="28"/>
      <c r="B6" s="41" t="s">
        <v>109</v>
      </c>
      <c r="C6" s="42"/>
      <c r="D6" s="42"/>
      <c r="E6" s="42"/>
      <c r="F6" s="42"/>
      <c r="G6" s="42"/>
      <c r="H6" s="28"/>
      <c r="I6" s="81">
        <f>I11+I12+I13</f>
        <v>15852.907755102044</v>
      </c>
      <c r="J6" s="81">
        <f t="shared" ref="J6:K6" si="0">J11+J12+J13</f>
        <v>20395.387755102038</v>
      </c>
      <c r="K6" s="81">
        <f t="shared" si="0"/>
        <v>18089.647755102043</v>
      </c>
    </row>
    <row r="7" spans="1:11" hidden="1" x14ac:dyDescent="0.35">
      <c r="A7" s="32"/>
      <c r="B7" s="28"/>
      <c r="C7" s="33" t="s">
        <v>23</v>
      </c>
      <c r="D7" s="34"/>
      <c r="E7" s="34"/>
      <c r="F7" s="34"/>
      <c r="G7" s="34"/>
      <c r="H7" s="59"/>
      <c r="I7" s="35"/>
      <c r="J7" s="35"/>
      <c r="K7" s="35"/>
    </row>
    <row r="8" spans="1:11" hidden="1" x14ac:dyDescent="0.35">
      <c r="A8" s="28"/>
      <c r="B8" s="28"/>
      <c r="C8" s="36"/>
      <c r="D8" s="28"/>
      <c r="E8" s="59"/>
      <c r="F8" s="59"/>
      <c r="G8" s="59"/>
      <c r="H8" s="59"/>
      <c r="I8" s="37"/>
      <c r="J8" s="37"/>
      <c r="K8" s="37"/>
    </row>
    <row r="9" spans="1:11" hidden="1" x14ac:dyDescent="0.35">
      <c r="A9" s="28"/>
      <c r="B9" s="28"/>
      <c r="C9" s="36"/>
      <c r="D9" s="28"/>
      <c r="E9" s="59"/>
      <c r="F9" s="59"/>
      <c r="G9" s="59"/>
      <c r="H9" s="59"/>
      <c r="I9" s="37"/>
      <c r="J9" s="37"/>
      <c r="K9" s="37"/>
    </row>
    <row r="10" spans="1:11" x14ac:dyDescent="0.35">
      <c r="A10" s="28"/>
      <c r="B10" s="28"/>
      <c r="C10" s="33" t="s">
        <v>24</v>
      </c>
      <c r="D10" s="33"/>
      <c r="E10" s="33"/>
      <c r="F10" s="33"/>
      <c r="G10" s="33"/>
      <c r="H10" s="59"/>
      <c r="I10" s="35"/>
      <c r="J10" s="35"/>
      <c r="K10" s="35"/>
    </row>
    <row r="11" spans="1:11" x14ac:dyDescent="0.35">
      <c r="A11" s="28"/>
      <c r="B11" s="28"/>
      <c r="C11" s="36" t="s">
        <v>106</v>
      </c>
      <c r="D11" s="28"/>
      <c r="E11" s="59"/>
      <c r="F11" s="59"/>
      <c r="G11" s="59"/>
      <c r="H11" s="59"/>
      <c r="I11" s="37"/>
      <c r="J11" s="37"/>
      <c r="K11" s="37"/>
    </row>
    <row r="12" spans="1:11" x14ac:dyDescent="0.35">
      <c r="A12" s="28"/>
      <c r="B12" s="28"/>
      <c r="C12" s="36" t="s">
        <v>107</v>
      </c>
      <c r="D12" s="28"/>
      <c r="E12" s="59"/>
      <c r="F12" s="59"/>
      <c r="G12" s="59"/>
      <c r="H12" s="59"/>
      <c r="I12" s="37">
        <f>I21+I26+I41+I56+I72</f>
        <v>14980.353877551022</v>
      </c>
      <c r="J12" s="37">
        <f t="shared" ref="J12:K12" si="1">J21+J26+J41+J56+J72</f>
        <v>19306.593877551019</v>
      </c>
      <c r="K12" s="37">
        <f t="shared" si="1"/>
        <v>17108.973877551023</v>
      </c>
    </row>
    <row r="13" spans="1:11" x14ac:dyDescent="0.35">
      <c r="A13" s="28"/>
      <c r="B13" s="28"/>
      <c r="C13" s="36" t="s">
        <v>108</v>
      </c>
      <c r="D13" s="28"/>
      <c r="E13" s="59"/>
      <c r="F13" s="59"/>
      <c r="G13" s="59"/>
      <c r="H13" s="59"/>
      <c r="I13" s="37">
        <f>I72</f>
        <v>872.55387755102049</v>
      </c>
      <c r="J13" s="37">
        <f t="shared" ref="J13:K13" si="2">J72</f>
        <v>1088.7938775510206</v>
      </c>
      <c r="K13" s="37">
        <f t="shared" si="2"/>
        <v>980.6738775510205</v>
      </c>
    </row>
    <row r="14" spans="1:11" x14ac:dyDescent="0.35">
      <c r="A14" s="28"/>
      <c r="B14" s="28"/>
      <c r="C14" s="36"/>
      <c r="D14" s="28"/>
      <c r="E14" s="59"/>
      <c r="F14" s="59"/>
      <c r="G14" s="59"/>
      <c r="H14" s="59"/>
      <c r="I14" s="59"/>
      <c r="J14" s="59"/>
      <c r="K14" s="59"/>
    </row>
    <row r="15" spans="1:11" x14ac:dyDescent="0.35">
      <c r="A15" s="31"/>
      <c r="B15" s="56"/>
      <c r="C15" s="56"/>
      <c r="D15" s="56"/>
      <c r="E15" s="56"/>
      <c r="F15" s="56"/>
      <c r="G15" s="56"/>
      <c r="H15" s="58"/>
      <c r="I15" s="56"/>
      <c r="J15" s="56"/>
      <c r="K15" s="56"/>
    </row>
    <row r="16" spans="1:11" x14ac:dyDescent="0.35">
      <c r="A16" s="26"/>
      <c r="B16" s="54" t="s">
        <v>90</v>
      </c>
      <c r="C16" s="173" t="s">
        <v>27</v>
      </c>
      <c r="D16" s="173"/>
      <c r="E16" s="173"/>
      <c r="F16" s="173"/>
      <c r="G16" s="173"/>
      <c r="H16" s="61"/>
      <c r="I16" s="55"/>
      <c r="J16" s="55"/>
      <c r="K16" s="55"/>
    </row>
    <row r="17" spans="2:14" x14ac:dyDescent="0.35">
      <c r="C17" s="51" t="s">
        <v>4</v>
      </c>
      <c r="N17" s="36"/>
    </row>
    <row r="18" spans="2:14" x14ac:dyDescent="0.35">
      <c r="C18" s="51" t="s">
        <v>5</v>
      </c>
      <c r="N18" s="36"/>
    </row>
    <row r="19" spans="2:14" x14ac:dyDescent="0.35">
      <c r="C19" s="51" t="s">
        <v>74</v>
      </c>
    </row>
    <row r="20" spans="2:14" x14ac:dyDescent="0.35">
      <c r="B20" s="56"/>
      <c r="C20" s="56"/>
      <c r="D20" s="56"/>
      <c r="E20" s="56"/>
      <c r="F20" s="56"/>
      <c r="G20" s="56"/>
      <c r="H20" s="58"/>
      <c r="I20" s="56"/>
      <c r="J20" s="56"/>
      <c r="K20" s="56"/>
    </row>
    <row r="21" spans="2:14" ht="14.5" customHeight="1" x14ac:dyDescent="0.35">
      <c r="B21" s="54">
        <v>1</v>
      </c>
      <c r="C21" s="57" t="s">
        <v>0</v>
      </c>
      <c r="D21" s="57"/>
      <c r="E21" s="57"/>
      <c r="F21" s="57"/>
      <c r="G21" s="57"/>
      <c r="H21" s="60"/>
      <c r="I21" s="55">
        <f>SUM(I22:I23)</f>
        <v>2700</v>
      </c>
      <c r="J21" s="55">
        <f t="shared" ref="J21:K21" si="3">SUM(J22:J23)</f>
        <v>2700</v>
      </c>
      <c r="K21" s="55">
        <f t="shared" si="3"/>
        <v>2700</v>
      </c>
    </row>
    <row r="22" spans="2:14" x14ac:dyDescent="0.35">
      <c r="C22" s="36" t="s">
        <v>51</v>
      </c>
      <c r="E22" s="65">
        <f>1*3</f>
        <v>3</v>
      </c>
      <c r="F22" s="65">
        <f t="shared" ref="F22:G22" si="4">1*3</f>
        <v>3</v>
      </c>
      <c r="G22" s="65">
        <f t="shared" si="4"/>
        <v>3</v>
      </c>
      <c r="H22" s="38"/>
      <c r="I22" s="37">
        <f>E22*GenAssumptions!D17</f>
        <v>1500</v>
      </c>
      <c r="J22" s="37">
        <f>F22*GenAssumptions!F17</f>
        <v>1500</v>
      </c>
      <c r="K22" s="37">
        <f>G22*GenAssumptions!E17</f>
        <v>1500</v>
      </c>
      <c r="L22" s="43" t="s">
        <v>54</v>
      </c>
      <c r="M22" s="43" t="s">
        <v>55</v>
      </c>
    </row>
    <row r="23" spans="2:14" x14ac:dyDescent="0.35">
      <c r="C23" s="36" t="s">
        <v>63</v>
      </c>
      <c r="E23" s="65">
        <v>1</v>
      </c>
      <c r="F23" s="65">
        <v>1</v>
      </c>
      <c r="G23" s="65">
        <v>1</v>
      </c>
      <c r="H23" s="38"/>
      <c r="I23" s="37">
        <f>GenAssumptions!D16*E23</f>
        <v>1200</v>
      </c>
      <c r="J23" s="37">
        <f>GenAssumptions!F16*F23</f>
        <v>1200</v>
      </c>
      <c r="K23" s="37">
        <f>GenAssumptions!E16*G23</f>
        <v>1200</v>
      </c>
      <c r="L23" s="36"/>
    </row>
    <row r="24" spans="2:14" x14ac:dyDescent="0.35">
      <c r="L24" s="36"/>
    </row>
    <row r="25" spans="2:14" x14ac:dyDescent="0.35">
      <c r="B25" s="56"/>
      <c r="C25" s="56"/>
      <c r="D25" s="56"/>
      <c r="E25" s="56"/>
      <c r="F25" s="56"/>
      <c r="G25" s="56"/>
      <c r="H25" s="58"/>
      <c r="I25" s="56"/>
      <c r="J25" s="56"/>
      <c r="K25" s="56"/>
    </row>
    <row r="26" spans="2:14" x14ac:dyDescent="0.35">
      <c r="B26" s="54">
        <v>2</v>
      </c>
      <c r="C26" s="57" t="s">
        <v>1</v>
      </c>
      <c r="D26" s="57"/>
      <c r="E26" s="57"/>
      <c r="F26" s="57"/>
      <c r="G26" s="57"/>
      <c r="H26" s="60"/>
      <c r="I26" s="55">
        <f>SUM(I27:I28)</f>
        <v>2764.2</v>
      </c>
      <c r="J26" s="55">
        <f t="shared" ref="J26:K26" si="5">SUM(J27:J28)</f>
        <v>3439.2</v>
      </c>
      <c r="K26" s="55">
        <f t="shared" si="5"/>
        <v>3101.7</v>
      </c>
    </row>
    <row r="27" spans="2:14" x14ac:dyDescent="0.35">
      <c r="C27" s="49" t="s">
        <v>59</v>
      </c>
      <c r="D27" s="49"/>
      <c r="E27" s="66">
        <f>GenAssumptions!D19</f>
        <v>30</v>
      </c>
      <c r="F27" s="66">
        <f>GenAssumptions!F19</f>
        <v>30</v>
      </c>
      <c r="G27" s="66">
        <f>GenAssumptions!E19</f>
        <v>30</v>
      </c>
      <c r="H27" s="62"/>
      <c r="I27" s="37">
        <f>E27*GenAssumptions!D45</f>
        <v>139.19999999999999</v>
      </c>
      <c r="J27" s="37">
        <f>F27*GenAssumptions!F45</f>
        <v>139.19999999999999</v>
      </c>
      <c r="K27" s="37">
        <f>G27*GenAssumptions!E45</f>
        <v>139.19999999999999</v>
      </c>
    </row>
    <row r="28" spans="2:14" x14ac:dyDescent="0.35">
      <c r="C28" s="49" t="s">
        <v>61</v>
      </c>
      <c r="D28" s="49"/>
      <c r="E28" s="67">
        <f>1/24</f>
        <v>4.1666666666666664E-2</v>
      </c>
      <c r="F28" s="67">
        <f t="shared" ref="F28:G28" si="6">1/24</f>
        <v>4.1666666666666664E-2</v>
      </c>
      <c r="G28" s="67">
        <f t="shared" si="6"/>
        <v>4.1666666666666664E-2</v>
      </c>
      <c r="H28" s="64"/>
      <c r="I28" s="37">
        <f>E28*I30</f>
        <v>2625</v>
      </c>
      <c r="J28" s="37">
        <f t="shared" ref="J28:K28" si="7">F28*J30</f>
        <v>3300</v>
      </c>
      <c r="K28" s="37">
        <f t="shared" si="7"/>
        <v>2962.5</v>
      </c>
      <c r="L28" s="36"/>
    </row>
    <row r="29" spans="2:14" x14ac:dyDescent="0.35">
      <c r="C29" s="49"/>
      <c r="D29" s="49"/>
      <c r="E29" s="62"/>
      <c r="F29" s="62"/>
      <c r="G29" s="62"/>
      <c r="H29" s="62"/>
      <c r="I29" s="63"/>
      <c r="J29" s="63"/>
      <c r="K29" s="63"/>
      <c r="L29" s="36"/>
    </row>
    <row r="30" spans="2:14" x14ac:dyDescent="0.35">
      <c r="B30" s="68"/>
      <c r="C30" s="69" t="s">
        <v>66</v>
      </c>
      <c r="D30" s="69"/>
      <c r="E30" s="70"/>
      <c r="F30" s="70"/>
      <c r="G30" s="70"/>
      <c r="H30" s="70"/>
      <c r="I30" s="71">
        <f>SUM(I33:I37)</f>
        <v>63000</v>
      </c>
      <c r="J30" s="71">
        <f t="shared" ref="J30:K30" si="8">SUM(J33:J37)</f>
        <v>79200</v>
      </c>
      <c r="K30" s="71">
        <f t="shared" si="8"/>
        <v>71100</v>
      </c>
      <c r="L30" s="36"/>
    </row>
    <row r="31" spans="2:14" x14ac:dyDescent="0.35">
      <c r="C31" s="51" t="s">
        <v>68</v>
      </c>
      <c r="D31" s="49"/>
      <c r="E31" s="66">
        <v>4</v>
      </c>
      <c r="F31" s="66">
        <v>4</v>
      </c>
      <c r="G31" s="66">
        <v>4</v>
      </c>
      <c r="H31" s="62"/>
      <c r="I31" s="63"/>
      <c r="J31" s="63"/>
      <c r="K31" s="63"/>
      <c r="L31" s="36"/>
    </row>
    <row r="32" spans="2:14" x14ac:dyDescent="0.35">
      <c r="C32" s="51" t="s">
        <v>65</v>
      </c>
      <c r="D32" s="49"/>
      <c r="E32" s="66">
        <v>24</v>
      </c>
      <c r="F32" s="37">
        <f>E32*F4</f>
        <v>48</v>
      </c>
      <c r="G32" s="37">
        <f>E32*G4</f>
        <v>36</v>
      </c>
      <c r="H32" s="62"/>
      <c r="I32" s="63"/>
      <c r="J32" s="63"/>
      <c r="K32" s="63"/>
      <c r="L32" s="43" t="s">
        <v>54</v>
      </c>
      <c r="M32" s="43" t="s">
        <v>62</v>
      </c>
    </row>
    <row r="33" spans="2:13" x14ac:dyDescent="0.35">
      <c r="C33" s="51" t="s">
        <v>60</v>
      </c>
      <c r="D33" s="49"/>
      <c r="E33" s="66">
        <f>E31</f>
        <v>4</v>
      </c>
      <c r="F33" s="66">
        <f t="shared" ref="F33:G33" si="9">F31</f>
        <v>4</v>
      </c>
      <c r="G33" s="66">
        <f t="shared" si="9"/>
        <v>4</v>
      </c>
      <c r="H33" s="49"/>
      <c r="I33" s="37">
        <f>E33*GenAssumptions!D24</f>
        <v>40000</v>
      </c>
      <c r="J33" s="37">
        <f>F33*GenAssumptions!F24</f>
        <v>40000</v>
      </c>
      <c r="K33" s="37">
        <f>G33*GenAssumptions!E24</f>
        <v>40000</v>
      </c>
      <c r="L33" s="36"/>
    </row>
    <row r="34" spans="2:13" x14ac:dyDescent="0.35">
      <c r="C34" s="51" t="s">
        <v>3</v>
      </c>
      <c r="D34" s="49"/>
      <c r="E34" s="37">
        <f>E31*E32</f>
        <v>96</v>
      </c>
      <c r="F34" s="37">
        <f t="shared" ref="F34:G34" si="10">F31*F32</f>
        <v>192</v>
      </c>
      <c r="G34" s="37">
        <f t="shared" si="10"/>
        <v>144</v>
      </c>
      <c r="H34" s="49"/>
      <c r="I34" s="37">
        <f>E34*GenAssumptions!D27</f>
        <v>14400</v>
      </c>
      <c r="J34" s="37">
        <f>F34*GenAssumptions!F27</f>
        <v>28800</v>
      </c>
      <c r="K34" s="37">
        <f>G34*GenAssumptions!E27</f>
        <v>21600</v>
      </c>
      <c r="L34" s="36"/>
    </row>
    <row r="35" spans="2:13" x14ac:dyDescent="0.35">
      <c r="C35" s="51" t="s">
        <v>67</v>
      </c>
      <c r="D35" s="49"/>
      <c r="E35" s="37">
        <f>E31</f>
        <v>4</v>
      </c>
      <c r="F35" s="37">
        <f t="shared" ref="F35:G35" si="11">F31</f>
        <v>4</v>
      </c>
      <c r="G35" s="37">
        <f t="shared" si="11"/>
        <v>4</v>
      </c>
      <c r="H35" s="49"/>
      <c r="I35" s="37">
        <f>E35*GenAssumptions!D16</f>
        <v>4800</v>
      </c>
      <c r="J35" s="37">
        <f>F35*GenAssumptions!F16</f>
        <v>4800</v>
      </c>
      <c r="K35" s="37">
        <f>G35*GenAssumptions!E16</f>
        <v>4800</v>
      </c>
      <c r="L35" s="36"/>
    </row>
    <row r="36" spans="2:13" x14ac:dyDescent="0.35">
      <c r="C36" s="51" t="s">
        <v>69</v>
      </c>
      <c r="D36" s="49"/>
      <c r="E36" s="37">
        <f>E31</f>
        <v>4</v>
      </c>
      <c r="F36" s="37">
        <f t="shared" ref="F36:G37" si="12">F31</f>
        <v>4</v>
      </c>
      <c r="G36" s="37">
        <f t="shared" si="12"/>
        <v>4</v>
      </c>
      <c r="H36" s="49"/>
      <c r="I36" s="37">
        <f>E36*GenAssumptions!D18</f>
        <v>2000</v>
      </c>
      <c r="J36" s="37">
        <f>F36*GenAssumptions!F18</f>
        <v>2000</v>
      </c>
      <c r="K36" s="37">
        <f>G36*GenAssumptions!E18</f>
        <v>2000</v>
      </c>
      <c r="L36" s="36"/>
    </row>
    <row r="37" spans="2:13" x14ac:dyDescent="0.35">
      <c r="C37" s="51" t="s">
        <v>71</v>
      </c>
      <c r="D37" s="49"/>
      <c r="E37" s="37">
        <f>E32</f>
        <v>24</v>
      </c>
      <c r="F37" s="37">
        <f t="shared" si="12"/>
        <v>48</v>
      </c>
      <c r="G37" s="37">
        <f t="shared" si="12"/>
        <v>36</v>
      </c>
      <c r="H37" s="49"/>
      <c r="I37" s="37">
        <f>E37*GenAssumptions!D28</f>
        <v>1800</v>
      </c>
      <c r="J37" s="37">
        <f>F37*GenAssumptions!F28</f>
        <v>3600</v>
      </c>
      <c r="K37" s="37">
        <f>G37*GenAssumptions!E28</f>
        <v>2700</v>
      </c>
      <c r="L37" s="36"/>
    </row>
    <row r="38" spans="2:13" x14ac:dyDescent="0.35">
      <c r="I38" s="44"/>
      <c r="J38" s="44"/>
      <c r="K38" s="44"/>
      <c r="L38" s="36"/>
    </row>
    <row r="39" spans="2:13" x14ac:dyDescent="0.35">
      <c r="B39" s="56"/>
      <c r="C39" s="56"/>
      <c r="D39" s="56"/>
      <c r="E39" s="56"/>
      <c r="F39" s="56"/>
      <c r="G39" s="56"/>
      <c r="H39" s="58"/>
      <c r="I39" s="56"/>
      <c r="J39" s="56"/>
      <c r="K39" s="56"/>
      <c r="L39" s="36"/>
    </row>
    <row r="40" spans="2:13" x14ac:dyDescent="0.35">
      <c r="B40" s="54">
        <v>3</v>
      </c>
      <c r="C40" s="57" t="s">
        <v>73</v>
      </c>
      <c r="D40" s="57"/>
      <c r="E40" s="57"/>
      <c r="F40" s="57"/>
      <c r="G40" s="57"/>
      <c r="H40" s="61"/>
      <c r="I40" s="55"/>
      <c r="J40" s="55"/>
      <c r="K40" s="55"/>
    </row>
    <row r="41" spans="2:13" x14ac:dyDescent="0.35">
      <c r="C41" s="49" t="s">
        <v>61</v>
      </c>
      <c r="D41" s="49"/>
      <c r="E41" s="67">
        <f>10/100</f>
        <v>0.1</v>
      </c>
      <c r="F41" s="67">
        <f t="shared" ref="F41:G41" si="13">10/100</f>
        <v>0.1</v>
      </c>
      <c r="G41" s="67">
        <f t="shared" si="13"/>
        <v>0.1</v>
      </c>
      <c r="H41" s="64"/>
      <c r="I41" s="37">
        <f>E41*I43</f>
        <v>5862</v>
      </c>
      <c r="J41" s="37">
        <f t="shared" ref="J41:K41" si="14">F41*J43</f>
        <v>9504</v>
      </c>
      <c r="K41" s="37">
        <f t="shared" si="14"/>
        <v>7683</v>
      </c>
    </row>
    <row r="42" spans="2:13" x14ac:dyDescent="0.35">
      <c r="C42" s="49"/>
      <c r="D42" s="49"/>
      <c r="E42" s="62"/>
      <c r="F42" s="62"/>
      <c r="G42" s="62"/>
      <c r="H42" s="62"/>
      <c r="I42" s="63"/>
      <c r="J42" s="63"/>
      <c r="K42" s="63"/>
      <c r="L42" s="43" t="s">
        <v>54</v>
      </c>
      <c r="M42" s="43" t="s">
        <v>79</v>
      </c>
    </row>
    <row r="43" spans="2:13" x14ac:dyDescent="0.35">
      <c r="B43" s="68"/>
      <c r="C43" s="69" t="s">
        <v>66</v>
      </c>
      <c r="D43" s="69"/>
      <c r="E43" s="70"/>
      <c r="F43" s="70"/>
      <c r="G43" s="70"/>
      <c r="H43" s="70"/>
      <c r="I43" s="71">
        <f>SUM(I47:I53)</f>
        <v>58620</v>
      </c>
      <c r="J43" s="71">
        <f t="shared" ref="J43:K43" si="15">SUM(J47:J53)</f>
        <v>95040</v>
      </c>
      <c r="K43" s="71">
        <f t="shared" si="15"/>
        <v>76830</v>
      </c>
      <c r="L43" s="43"/>
      <c r="M43" s="43" t="s">
        <v>80</v>
      </c>
    </row>
    <row r="44" spans="2:13" x14ac:dyDescent="0.35">
      <c r="C44" s="51" t="s">
        <v>76</v>
      </c>
      <c r="D44" s="49"/>
      <c r="E44" s="66">
        <v>2</v>
      </c>
      <c r="F44" s="66">
        <v>2</v>
      </c>
      <c r="G44" s="66">
        <v>2</v>
      </c>
      <c r="H44" s="62"/>
      <c r="I44" s="63"/>
      <c r="J44" s="63"/>
      <c r="K44" s="63"/>
    </row>
    <row r="45" spans="2:13" x14ac:dyDescent="0.35">
      <c r="C45" s="51" t="s">
        <v>68</v>
      </c>
      <c r="D45" s="49"/>
      <c r="E45" s="66">
        <v>1</v>
      </c>
      <c r="F45" s="66">
        <v>1</v>
      </c>
      <c r="G45" s="66">
        <v>1</v>
      </c>
      <c r="H45" s="62"/>
      <c r="I45" s="63"/>
      <c r="J45" s="63"/>
      <c r="K45" s="63"/>
    </row>
    <row r="46" spans="2:13" x14ac:dyDescent="0.35">
      <c r="C46" s="51" t="s">
        <v>65</v>
      </c>
      <c r="D46" s="49"/>
      <c r="E46" s="66">
        <v>100</v>
      </c>
      <c r="F46" s="37">
        <f>E46*F4</f>
        <v>200</v>
      </c>
      <c r="G46" s="37">
        <f>E46*G4</f>
        <v>150</v>
      </c>
      <c r="H46" s="62"/>
      <c r="I46" s="63"/>
      <c r="J46" s="63"/>
      <c r="K46" s="63"/>
    </row>
    <row r="47" spans="2:13" x14ac:dyDescent="0.35">
      <c r="C47" s="51" t="s">
        <v>60</v>
      </c>
      <c r="D47" s="49"/>
      <c r="E47" s="37">
        <f>E45</f>
        <v>1</v>
      </c>
      <c r="F47" s="37">
        <f t="shared" ref="F47:G47" si="16">F45</f>
        <v>1</v>
      </c>
      <c r="G47" s="37">
        <f t="shared" si="16"/>
        <v>1</v>
      </c>
      <c r="H47" s="49"/>
      <c r="I47" s="37">
        <f>E47*GenAssumptions!D24</f>
        <v>10000</v>
      </c>
      <c r="J47" s="37">
        <f>F47*GenAssumptions!F24</f>
        <v>10000</v>
      </c>
      <c r="K47" s="37">
        <f>G47*GenAssumptions!E24</f>
        <v>10000</v>
      </c>
    </row>
    <row r="48" spans="2:13" x14ac:dyDescent="0.35">
      <c r="C48" s="51" t="s">
        <v>3</v>
      </c>
      <c r="D48" s="49"/>
      <c r="E48" s="37">
        <f>E45*E46</f>
        <v>100</v>
      </c>
      <c r="F48" s="37">
        <f t="shared" ref="F48:G48" si="17">F45*F46</f>
        <v>200</v>
      </c>
      <c r="G48" s="37">
        <f t="shared" si="17"/>
        <v>150</v>
      </c>
      <c r="H48" s="49"/>
      <c r="I48" s="37">
        <f>E48*GenAssumptions!D27</f>
        <v>15000</v>
      </c>
      <c r="J48" s="37">
        <f>F48*GenAssumptions!F27</f>
        <v>30000</v>
      </c>
      <c r="K48" s="37">
        <f>G48*GenAssumptions!E27</f>
        <v>22500</v>
      </c>
    </row>
    <row r="49" spans="2:12" x14ac:dyDescent="0.35">
      <c r="C49" s="51" t="s">
        <v>77</v>
      </c>
      <c r="D49" s="49"/>
      <c r="E49" s="37">
        <f>E44</f>
        <v>2</v>
      </c>
      <c r="F49" s="37">
        <f t="shared" ref="F49:G49" si="18">F44</f>
        <v>2</v>
      </c>
      <c r="G49" s="37">
        <f t="shared" si="18"/>
        <v>2</v>
      </c>
      <c r="H49" s="49"/>
      <c r="I49" s="37">
        <f>E49*GenAssumptions!D22</f>
        <v>10000</v>
      </c>
      <c r="J49" s="37">
        <f>F49*GenAssumptions!F22</f>
        <v>10000</v>
      </c>
      <c r="K49" s="37">
        <f>G49*GenAssumptions!E22</f>
        <v>10000</v>
      </c>
    </row>
    <row r="50" spans="2:12" x14ac:dyDescent="0.35">
      <c r="C50" s="51" t="s">
        <v>78</v>
      </c>
      <c r="D50" s="49"/>
      <c r="E50" s="37">
        <f>E46*GenAssumptions!D19</f>
        <v>3000</v>
      </c>
      <c r="F50" s="37">
        <f>F46*GenAssumptions!F19</f>
        <v>6000</v>
      </c>
      <c r="G50" s="37">
        <f>G46*GenAssumptions!E19</f>
        <v>4500</v>
      </c>
      <c r="H50" s="49"/>
      <c r="I50" s="37">
        <f>E50*GenAssumptions!D45</f>
        <v>13919.999999999998</v>
      </c>
      <c r="J50" s="37">
        <f>F50*GenAssumptions!F45</f>
        <v>27839.999999999996</v>
      </c>
      <c r="K50" s="37">
        <f>G50*GenAssumptions!E45</f>
        <v>20880</v>
      </c>
    </row>
    <row r="51" spans="2:12" x14ac:dyDescent="0.35">
      <c r="C51" s="51" t="s">
        <v>67</v>
      </c>
      <c r="D51" s="49"/>
      <c r="E51" s="37">
        <f>E45</f>
        <v>1</v>
      </c>
      <c r="F51" s="37">
        <f t="shared" ref="F51:G51" si="19">F45</f>
        <v>1</v>
      </c>
      <c r="G51" s="37">
        <f t="shared" si="19"/>
        <v>1</v>
      </c>
      <c r="H51" s="49"/>
      <c r="I51" s="37">
        <f>E51*GenAssumptions!D16</f>
        <v>1200</v>
      </c>
      <c r="J51" s="37">
        <f>F51*GenAssumptions!F16</f>
        <v>1200</v>
      </c>
      <c r="K51" s="37">
        <f>G51*GenAssumptions!E16</f>
        <v>1200</v>
      </c>
    </row>
    <row r="52" spans="2:12" x14ac:dyDescent="0.35">
      <c r="C52" s="51" t="s">
        <v>69</v>
      </c>
      <c r="D52" s="49"/>
      <c r="E52" s="37">
        <f>E44*E45</f>
        <v>2</v>
      </c>
      <c r="F52" s="37">
        <f t="shared" ref="F52:G52" si="20">F44*F45</f>
        <v>2</v>
      </c>
      <c r="G52" s="37">
        <f t="shared" si="20"/>
        <v>2</v>
      </c>
      <c r="H52" s="49"/>
      <c r="I52" s="37">
        <f>E52*GenAssumptions!D18</f>
        <v>1000</v>
      </c>
      <c r="J52" s="37">
        <f>F52*GenAssumptions!F18</f>
        <v>1000</v>
      </c>
      <c r="K52" s="37">
        <f>G52*GenAssumptions!E18</f>
        <v>1000</v>
      </c>
    </row>
    <row r="53" spans="2:12" x14ac:dyDescent="0.35">
      <c r="C53" s="51" t="s">
        <v>71</v>
      </c>
      <c r="D53" s="49"/>
      <c r="E53" s="37">
        <f>E46</f>
        <v>100</v>
      </c>
      <c r="F53" s="37">
        <f t="shared" ref="F53:G53" si="21">F46</f>
        <v>200</v>
      </c>
      <c r="G53" s="37">
        <f t="shared" si="21"/>
        <v>150</v>
      </c>
      <c r="H53" s="49"/>
      <c r="I53" s="37">
        <f>E53*GenAssumptions!D28</f>
        <v>7500</v>
      </c>
      <c r="J53" s="37">
        <f>F53*GenAssumptions!F28</f>
        <v>15000</v>
      </c>
      <c r="K53" s="37">
        <f>G53*GenAssumptions!E28</f>
        <v>11250</v>
      </c>
    </row>
    <row r="54" spans="2:12" x14ac:dyDescent="0.35">
      <c r="B54" s="56"/>
      <c r="C54" s="56"/>
      <c r="D54" s="56"/>
      <c r="E54" s="56"/>
      <c r="F54" s="56"/>
      <c r="G54" s="56"/>
      <c r="H54" s="58"/>
      <c r="I54" s="56"/>
      <c r="J54" s="56"/>
      <c r="K54" s="56"/>
    </row>
    <row r="55" spans="2:12" x14ac:dyDescent="0.35">
      <c r="B55" s="54">
        <v>4</v>
      </c>
      <c r="C55" s="57" t="s">
        <v>81</v>
      </c>
      <c r="D55" s="57"/>
      <c r="E55" s="57"/>
      <c r="F55" s="57"/>
      <c r="G55" s="57"/>
      <c r="H55" s="61"/>
      <c r="I55" s="55"/>
      <c r="J55" s="55"/>
      <c r="K55" s="55"/>
    </row>
    <row r="56" spans="2:12" x14ac:dyDescent="0.35">
      <c r="C56" s="49" t="s">
        <v>82</v>
      </c>
      <c r="D56" s="49"/>
      <c r="E56" s="67">
        <f>3/E61</f>
        <v>0.02</v>
      </c>
      <c r="F56" s="67">
        <f t="shared" ref="F56:G56" si="22">3/F61</f>
        <v>0.01</v>
      </c>
      <c r="G56" s="67">
        <f t="shared" si="22"/>
        <v>1.3333333333333334E-2</v>
      </c>
      <c r="H56" s="64"/>
      <c r="I56" s="37">
        <f>E56*I58</f>
        <v>2781.6</v>
      </c>
      <c r="J56" s="37">
        <f t="shared" ref="J56:K56" si="23">F56*J58</f>
        <v>2574.6</v>
      </c>
      <c r="K56" s="37">
        <f t="shared" si="23"/>
        <v>2643.6000000000004</v>
      </c>
    </row>
    <row r="57" spans="2:12" x14ac:dyDescent="0.35">
      <c r="C57" s="49"/>
      <c r="D57" s="49"/>
      <c r="E57" s="62"/>
      <c r="F57" s="62"/>
      <c r="G57" s="62"/>
      <c r="H57" s="62"/>
      <c r="I57" s="63"/>
      <c r="J57" s="63"/>
      <c r="K57" s="63"/>
      <c r="L57" s="43" t="s">
        <v>85</v>
      </c>
    </row>
    <row r="58" spans="2:12" x14ac:dyDescent="0.35">
      <c r="B58" s="68"/>
      <c r="C58" s="69" t="s">
        <v>66</v>
      </c>
      <c r="D58" s="69"/>
      <c r="E58" s="70"/>
      <c r="F58" s="70"/>
      <c r="G58" s="70"/>
      <c r="H58" s="70"/>
      <c r="I58" s="71">
        <f>SUM(I62:I69)</f>
        <v>139080</v>
      </c>
      <c r="J58" s="71">
        <f t="shared" ref="J58:K58" si="24">SUM(J62:J69)</f>
        <v>257460</v>
      </c>
      <c r="K58" s="71">
        <f t="shared" si="24"/>
        <v>198270</v>
      </c>
    </row>
    <row r="59" spans="2:12" x14ac:dyDescent="0.35">
      <c r="C59" s="51" t="s">
        <v>76</v>
      </c>
      <c r="D59" s="49"/>
      <c r="E59" s="66">
        <v>2</v>
      </c>
      <c r="F59" s="66">
        <v>2</v>
      </c>
      <c r="G59" s="66">
        <v>2</v>
      </c>
      <c r="H59" s="62"/>
      <c r="I59" s="63"/>
      <c r="J59" s="63"/>
      <c r="K59" s="63"/>
    </row>
    <row r="60" spans="2:12" x14ac:dyDescent="0.35">
      <c r="C60" s="51" t="s">
        <v>83</v>
      </c>
      <c r="D60" s="49"/>
      <c r="E60" s="66">
        <v>1</v>
      </c>
      <c r="F60" s="66">
        <v>1</v>
      </c>
      <c r="G60" s="66">
        <v>1</v>
      </c>
      <c r="H60" s="62"/>
      <c r="I60" s="63"/>
      <c r="J60" s="63"/>
      <c r="K60" s="63"/>
    </row>
    <row r="61" spans="2:12" x14ac:dyDescent="0.35">
      <c r="C61" s="51" t="s">
        <v>84</v>
      </c>
      <c r="D61" s="49"/>
      <c r="E61" s="66">
        <v>150</v>
      </c>
      <c r="F61" s="37">
        <f>E61*F4</f>
        <v>300</v>
      </c>
      <c r="G61" s="37">
        <f>E61*G4</f>
        <v>225</v>
      </c>
      <c r="H61" s="62"/>
      <c r="I61" s="63"/>
      <c r="J61" s="63"/>
      <c r="K61" s="63"/>
    </row>
    <row r="62" spans="2:12" x14ac:dyDescent="0.35">
      <c r="C62" s="51" t="s">
        <v>60</v>
      </c>
      <c r="D62" s="49"/>
      <c r="E62" s="37">
        <f>E60</f>
        <v>1</v>
      </c>
      <c r="F62" s="37">
        <f t="shared" ref="F62:G62" si="25">F60</f>
        <v>1</v>
      </c>
      <c r="G62" s="37">
        <f t="shared" si="25"/>
        <v>1</v>
      </c>
      <c r="H62" s="49"/>
      <c r="I62" s="37">
        <f>E62*GenAssumptions!D24</f>
        <v>10000</v>
      </c>
      <c r="J62" s="37">
        <f>F62*GenAssumptions!F24</f>
        <v>10000</v>
      </c>
      <c r="K62" s="37">
        <f>G62*GenAssumptions!E24</f>
        <v>10000</v>
      </c>
    </row>
    <row r="63" spans="2:12" x14ac:dyDescent="0.35">
      <c r="C63" s="51" t="s">
        <v>3</v>
      </c>
      <c r="D63" s="49"/>
      <c r="E63" s="37">
        <f>E60*E61</f>
        <v>150</v>
      </c>
      <c r="F63" s="37">
        <f t="shared" ref="F63:G63" si="26">F60*F61</f>
        <v>300</v>
      </c>
      <c r="G63" s="37">
        <f t="shared" si="26"/>
        <v>225</v>
      </c>
      <c r="H63" s="49"/>
      <c r="I63" s="37">
        <f>E63*GenAssumptions!D27</f>
        <v>22500</v>
      </c>
      <c r="J63" s="37">
        <f>F63*GenAssumptions!F27</f>
        <v>45000</v>
      </c>
      <c r="K63" s="37">
        <f>G63*GenAssumptions!E27</f>
        <v>33750</v>
      </c>
    </row>
    <row r="64" spans="2:12" x14ac:dyDescent="0.35">
      <c r="C64" s="51" t="s">
        <v>77</v>
      </c>
      <c r="D64" s="49"/>
      <c r="E64" s="37">
        <v>0</v>
      </c>
      <c r="F64" s="37">
        <v>0</v>
      </c>
      <c r="G64" s="37">
        <v>0</v>
      </c>
      <c r="H64" s="49"/>
      <c r="I64" s="37">
        <f>E64*GenAssumptions!D22</f>
        <v>0</v>
      </c>
      <c r="J64" s="37">
        <f>F64*GenAssumptions!F22</f>
        <v>0</v>
      </c>
      <c r="K64" s="37">
        <f>G64*GenAssumptions!E22</f>
        <v>0</v>
      </c>
    </row>
    <row r="65" spans="2:12" x14ac:dyDescent="0.35">
      <c r="C65" s="51" t="s">
        <v>78</v>
      </c>
      <c r="D65" s="49"/>
      <c r="E65" s="37">
        <f>E63*GenAssumptions!D19</f>
        <v>4500</v>
      </c>
      <c r="F65" s="37">
        <f>F63*GenAssumptions!F19</f>
        <v>9000</v>
      </c>
      <c r="G65" s="37">
        <f>G63*GenAssumptions!E19</f>
        <v>6750</v>
      </c>
      <c r="H65" s="49"/>
      <c r="I65" s="37">
        <f>E65*GenAssumptions!D45</f>
        <v>20880</v>
      </c>
      <c r="J65" s="37">
        <f>F65*GenAssumptions!F45</f>
        <v>41760</v>
      </c>
      <c r="K65" s="37">
        <f>G65*GenAssumptions!E45</f>
        <v>31319.999999999996</v>
      </c>
    </row>
    <row r="66" spans="2:12" x14ac:dyDescent="0.35">
      <c r="C66" s="51" t="s">
        <v>67</v>
      </c>
      <c r="D66" s="49"/>
      <c r="E66" s="37">
        <f>E60</f>
        <v>1</v>
      </c>
      <c r="F66" s="37">
        <f t="shared" ref="F66:G66" si="27">F60</f>
        <v>1</v>
      </c>
      <c r="G66" s="37">
        <f t="shared" si="27"/>
        <v>1</v>
      </c>
      <c r="H66" s="49"/>
      <c r="I66" s="37">
        <f>E66*GenAssumptions!D16</f>
        <v>1200</v>
      </c>
      <c r="J66" s="37">
        <f>F66*GenAssumptions!F16</f>
        <v>1200</v>
      </c>
      <c r="K66" s="37">
        <f>G66*GenAssumptions!E16</f>
        <v>1200</v>
      </c>
    </row>
    <row r="67" spans="2:12" x14ac:dyDescent="0.35">
      <c r="C67" s="51" t="s">
        <v>69</v>
      </c>
      <c r="D67" s="49"/>
      <c r="E67" s="37">
        <f>E59*E60</f>
        <v>2</v>
      </c>
      <c r="F67" s="37">
        <f t="shared" ref="F67:G67" si="28">F59*F60</f>
        <v>2</v>
      </c>
      <c r="G67" s="37">
        <f t="shared" si="28"/>
        <v>2</v>
      </c>
      <c r="H67" s="49"/>
      <c r="I67" s="37">
        <f>E67*GenAssumptions!D18</f>
        <v>1000</v>
      </c>
      <c r="J67" s="37">
        <f>F67*GenAssumptions!F18</f>
        <v>1000</v>
      </c>
      <c r="K67" s="37">
        <f>G67*GenAssumptions!E18</f>
        <v>1000</v>
      </c>
    </row>
    <row r="68" spans="2:12" x14ac:dyDescent="0.35">
      <c r="C68" s="51" t="s">
        <v>89</v>
      </c>
      <c r="D68" s="49"/>
      <c r="E68" s="37">
        <f>E61</f>
        <v>150</v>
      </c>
      <c r="F68" s="37">
        <f t="shared" ref="F68:G68" si="29">F61</f>
        <v>300</v>
      </c>
      <c r="G68" s="37">
        <f t="shared" si="29"/>
        <v>225</v>
      </c>
      <c r="H68" s="49"/>
      <c r="I68" s="37">
        <f>E60*E68*GenAssumptions!D18</f>
        <v>75000</v>
      </c>
      <c r="J68" s="37">
        <f>F60*F68*GenAssumptions!F18</f>
        <v>150000</v>
      </c>
      <c r="K68" s="37">
        <f>G60*G68*GenAssumptions!E18</f>
        <v>112500</v>
      </c>
    </row>
    <row r="69" spans="2:12" x14ac:dyDescent="0.35">
      <c r="C69" s="51" t="s">
        <v>86</v>
      </c>
      <c r="D69" s="49"/>
      <c r="E69" s="37">
        <v>1</v>
      </c>
      <c r="F69" s="37">
        <v>1</v>
      </c>
      <c r="G69" s="37">
        <v>1</v>
      </c>
      <c r="H69" s="49"/>
      <c r="I69" s="37">
        <f>E69*GenAssumptions!D29</f>
        <v>8500</v>
      </c>
      <c r="J69" s="37">
        <f>F69*GenAssumptions!F29</f>
        <v>8500</v>
      </c>
      <c r="K69" s="37">
        <f>G69*GenAssumptions!E29</f>
        <v>8500</v>
      </c>
    </row>
    <row r="70" spans="2:12" x14ac:dyDescent="0.35">
      <c r="B70" s="56"/>
      <c r="C70" s="56"/>
      <c r="D70" s="56"/>
      <c r="E70" s="56"/>
      <c r="F70" s="56"/>
      <c r="G70" s="56"/>
      <c r="H70" s="58"/>
      <c r="I70" s="56"/>
      <c r="J70" s="56"/>
      <c r="K70" s="56"/>
    </row>
    <row r="71" spans="2:12" x14ac:dyDescent="0.35">
      <c r="B71" s="54">
        <v>5</v>
      </c>
      <c r="C71" s="173" t="s">
        <v>26</v>
      </c>
      <c r="D71" s="173"/>
      <c r="E71" s="173"/>
      <c r="F71" s="173"/>
      <c r="G71" s="173"/>
      <c r="H71" s="61"/>
      <c r="I71" s="55"/>
      <c r="J71" s="55"/>
      <c r="K71" s="55"/>
    </row>
    <row r="72" spans="2:12" x14ac:dyDescent="0.35">
      <c r="C72" s="49" t="s">
        <v>91</v>
      </c>
      <c r="D72" s="49"/>
      <c r="E72" s="72">
        <f>17/8330</f>
        <v>2.0408163265306124E-3</v>
      </c>
      <c r="F72" s="72">
        <f t="shared" ref="F72:G72" si="30">17/8330</f>
        <v>2.0408163265306124E-3</v>
      </c>
      <c r="G72" s="72">
        <f t="shared" si="30"/>
        <v>2.0408163265306124E-3</v>
      </c>
      <c r="H72" s="64"/>
      <c r="I72" s="37">
        <f>E72*I74</f>
        <v>872.55387755102049</v>
      </c>
      <c r="J72" s="37">
        <f t="shared" ref="J72:K72" si="31">F72*J74</f>
        <v>1088.7938775510206</v>
      </c>
      <c r="K72" s="37">
        <f t="shared" si="31"/>
        <v>980.6738775510205</v>
      </c>
      <c r="L72" s="43" t="s">
        <v>104</v>
      </c>
    </row>
    <row r="73" spans="2:12" x14ac:dyDescent="0.35">
      <c r="C73" s="49"/>
      <c r="D73" s="49"/>
      <c r="E73" s="62"/>
      <c r="F73" s="62"/>
      <c r="G73" s="62"/>
      <c r="H73" s="62"/>
      <c r="I73" s="63"/>
      <c r="J73" s="63"/>
      <c r="K73" s="63"/>
    </row>
    <row r="74" spans="2:12" x14ac:dyDescent="0.35">
      <c r="B74" s="68"/>
      <c r="C74" s="69" t="s">
        <v>92</v>
      </c>
      <c r="D74" s="69"/>
      <c r="E74" s="70"/>
      <c r="F74" s="70"/>
      <c r="G74" s="70"/>
      <c r="H74" s="70"/>
      <c r="I74" s="71">
        <f>SUM(I75:I84)</f>
        <v>427551.4</v>
      </c>
      <c r="J74" s="71">
        <f t="shared" ref="J74:K74" si="32">SUM(J75:J84)</f>
        <v>533509</v>
      </c>
      <c r="K74" s="71">
        <f t="shared" si="32"/>
        <v>480530.2</v>
      </c>
    </row>
    <row r="75" spans="2:12" x14ac:dyDescent="0.35">
      <c r="C75" s="51" t="s">
        <v>93</v>
      </c>
      <c r="D75" s="49"/>
      <c r="E75" s="66">
        <v>1</v>
      </c>
      <c r="F75" s="66">
        <v>1</v>
      </c>
      <c r="G75" s="66">
        <v>1</v>
      </c>
      <c r="H75" s="62"/>
      <c r="I75" s="37">
        <f>E75*GenAssumptions!D48</f>
        <v>8268</v>
      </c>
      <c r="J75" s="37">
        <f>F75*GenAssumptions!F48</f>
        <v>8268</v>
      </c>
      <c r="K75" s="37">
        <f>G75*GenAssumptions!E48</f>
        <v>8268</v>
      </c>
    </row>
    <row r="76" spans="2:12" x14ac:dyDescent="0.35">
      <c r="C76" s="51" t="s">
        <v>94</v>
      </c>
      <c r="D76" s="49"/>
      <c r="E76" s="66">
        <v>1</v>
      </c>
      <c r="F76" s="66">
        <v>1</v>
      </c>
      <c r="G76" s="66">
        <v>1</v>
      </c>
      <c r="H76" s="62"/>
      <c r="I76" s="37">
        <f>E76*GenAssumptions!D49</f>
        <v>58840.6</v>
      </c>
      <c r="J76" s="37">
        <f>F76*GenAssumptions!F49</f>
        <v>58840.6</v>
      </c>
      <c r="K76" s="37">
        <f>G76*GenAssumptions!E49</f>
        <v>58840.6</v>
      </c>
    </row>
    <row r="77" spans="2:12" x14ac:dyDescent="0.35">
      <c r="C77" s="51" t="s">
        <v>95</v>
      </c>
      <c r="D77" s="49"/>
      <c r="E77" s="66">
        <v>1</v>
      </c>
      <c r="F77" s="66">
        <v>1</v>
      </c>
      <c r="G77" s="66">
        <v>1</v>
      </c>
      <c r="H77" s="62"/>
      <c r="I77" s="37">
        <f>E77*GenAssumptions!D50</f>
        <v>13780</v>
      </c>
      <c r="J77" s="37">
        <f>F77*GenAssumptions!F50</f>
        <v>13780</v>
      </c>
      <c r="K77" s="37">
        <f>G77*GenAssumptions!E50</f>
        <v>13780</v>
      </c>
    </row>
    <row r="78" spans="2:12" x14ac:dyDescent="0.35">
      <c r="C78" s="51" t="s">
        <v>96</v>
      </c>
      <c r="D78" s="49"/>
      <c r="E78" s="37">
        <v>1</v>
      </c>
      <c r="F78" s="37">
        <v>1</v>
      </c>
      <c r="G78" s="37">
        <v>1</v>
      </c>
      <c r="H78" s="49"/>
      <c r="I78" s="37">
        <f>E78*GenAssumptions!D51</f>
        <v>33072</v>
      </c>
      <c r="J78" s="37">
        <f>F78*GenAssumptions!F51</f>
        <v>33072</v>
      </c>
      <c r="K78" s="37">
        <f>G78*GenAssumptions!E51</f>
        <v>33072</v>
      </c>
    </row>
    <row r="79" spans="2:12" x14ac:dyDescent="0.35">
      <c r="C79" s="51" t="s">
        <v>97</v>
      </c>
      <c r="D79" s="49"/>
      <c r="E79" s="37">
        <v>1</v>
      </c>
      <c r="F79" s="37">
        <v>1</v>
      </c>
      <c r="G79" s="37">
        <v>1</v>
      </c>
      <c r="H79" s="49"/>
      <c r="I79" s="37">
        <f>E79*GenAssumptions!D52</f>
        <v>25079.600000000002</v>
      </c>
      <c r="J79" s="37">
        <f>F79*GenAssumptions!F52</f>
        <v>25079.600000000002</v>
      </c>
      <c r="K79" s="37">
        <f>G79*GenAssumptions!E52</f>
        <v>25079.600000000002</v>
      </c>
    </row>
    <row r="80" spans="2:12" x14ac:dyDescent="0.35">
      <c r="C80" s="51" t="s">
        <v>98</v>
      </c>
      <c r="D80" s="49"/>
      <c r="E80" s="37">
        <v>1</v>
      </c>
      <c r="F80" s="37">
        <v>1</v>
      </c>
      <c r="G80" s="37">
        <v>1</v>
      </c>
      <c r="H80" s="49"/>
      <c r="I80" s="37">
        <f>E80*GenAssumptions!D53</f>
        <v>15433.6</v>
      </c>
      <c r="J80" s="37">
        <f>F80*GenAssumptions!F53</f>
        <v>15433.6</v>
      </c>
      <c r="K80" s="37">
        <f>G80*GenAssumptions!E53</f>
        <v>15433.6</v>
      </c>
    </row>
    <row r="81" spans="3:11" x14ac:dyDescent="0.35">
      <c r="C81" s="51" t="s">
        <v>99</v>
      </c>
      <c r="D81" s="49"/>
      <c r="E81" s="37">
        <v>1</v>
      </c>
      <c r="F81" s="37">
        <v>1</v>
      </c>
      <c r="G81" s="37">
        <v>1</v>
      </c>
      <c r="H81" s="49"/>
      <c r="I81" s="37">
        <f>E81*GenAssumptions!D54</f>
        <v>12000</v>
      </c>
      <c r="J81" s="37">
        <f>F81*GenAssumptions!F54</f>
        <v>12000</v>
      </c>
      <c r="K81" s="37">
        <f>G81*GenAssumptions!E54</f>
        <v>12000</v>
      </c>
    </row>
    <row r="82" spans="3:11" x14ac:dyDescent="0.35">
      <c r="C82" s="51" t="s">
        <v>100</v>
      </c>
      <c r="D82" s="49"/>
      <c r="E82" s="37">
        <v>1</v>
      </c>
      <c r="F82" s="37">
        <v>1</v>
      </c>
      <c r="G82" s="37">
        <v>1</v>
      </c>
      <c r="H82" s="49"/>
      <c r="I82" s="37">
        <f>E82*GenAssumptions!D55</f>
        <v>55120</v>
      </c>
      <c r="J82" s="37">
        <f>F82*GenAssumptions!F55</f>
        <v>55120</v>
      </c>
      <c r="K82" s="37">
        <f>G82*GenAssumptions!E55</f>
        <v>55120</v>
      </c>
    </row>
    <row r="83" spans="3:11" x14ac:dyDescent="0.35">
      <c r="C83" s="51" t="s">
        <v>101</v>
      </c>
      <c r="D83" s="49"/>
      <c r="E83" s="37">
        <v>33320</v>
      </c>
      <c r="F83" s="37">
        <f>E83*F4</f>
        <v>66640</v>
      </c>
      <c r="G83" s="37">
        <f>E83*G4</f>
        <v>49980</v>
      </c>
      <c r="H83" s="49"/>
      <c r="I83" s="37">
        <f>E83*GenAssumptions!D56</f>
        <v>105957.6</v>
      </c>
      <c r="J83" s="37">
        <f>F83*GenAssumptions!F56</f>
        <v>211915.2</v>
      </c>
      <c r="K83" s="37">
        <f>G83*GenAssumptions!E56</f>
        <v>158936.4</v>
      </c>
    </row>
    <row r="84" spans="3:11" x14ac:dyDescent="0.35">
      <c r="C84" s="51" t="s">
        <v>102</v>
      </c>
      <c r="D84" s="49"/>
      <c r="E84" s="37">
        <v>1</v>
      </c>
      <c r="F84" s="37">
        <v>1</v>
      </c>
      <c r="G84" s="37">
        <v>1</v>
      </c>
      <c r="H84" s="49"/>
      <c r="I84" s="37">
        <f>E84*GenAssumptions!D57</f>
        <v>100000</v>
      </c>
      <c r="J84" s="37">
        <f>F84*GenAssumptions!F57</f>
        <v>100000</v>
      </c>
      <c r="K84" s="37">
        <f>G84*GenAssumptions!E57</f>
        <v>100000</v>
      </c>
    </row>
  </sheetData>
  <mergeCells count="2">
    <mergeCell ref="C16:G16"/>
    <mergeCell ref="C71:G7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Front</vt:lpstr>
      <vt:lpstr>GenAssumptions</vt:lpstr>
      <vt:lpstr>Summary</vt:lpstr>
      <vt:lpstr>HeadOffice</vt:lpstr>
      <vt:lpstr>Training</vt:lpstr>
      <vt:lpstr>ClubActivities</vt:lpstr>
      <vt:lpstr>ClubActivities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Carmen</cp:lastModifiedBy>
  <dcterms:created xsi:type="dcterms:W3CDTF">2023-04-24T10:51:10Z</dcterms:created>
  <dcterms:modified xsi:type="dcterms:W3CDTF">2023-06-20T14:13:37Z</dcterms:modified>
</cp:coreProperties>
</file>